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andi\Desktop\"/>
    </mc:Choice>
  </mc:AlternateContent>
  <xr:revisionPtr revIDLastSave="0" documentId="8_{64937C14-0F72-4ABE-9148-DDB34EC431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mmary of Order" sheetId="1" r:id="rId1"/>
    <sheet name="PE Holds" sheetId="2" r:id="rId2"/>
    <sheet name="PU Holds" sheetId="9" r:id="rId3"/>
    <sheet name="Macros" sheetId="3" r:id="rId4"/>
    <sheet name="Plywood-Volumes" sheetId="6" r:id="rId5"/>
  </sheets>
  <definedNames>
    <definedName name="NoScrews" localSheetId="2">'PU Holds'!#REF!</definedName>
    <definedName name="NoScrews">'PE Holds'!#REF!</definedName>
    <definedName name="WithScrews" localSheetId="2">'PU Holds'!#REF!</definedName>
    <definedName name="WithScrews">'PE Holds'!#REF!</definedName>
    <definedName name="Z_D8989337_B290_44A9_8E0B_1D31DA495A27_.wvu.Cols" localSheetId="1">'PE Holds'!$AA:$XFD</definedName>
    <definedName name="Z_D8989337_B290_44A9_8E0B_1D31DA495A27_.wvu.Cols" localSheetId="2">'PU Holds'!$AA:$XFD</definedName>
  </definedNames>
  <calcPr calcId="191029"/>
  <extLst>
    <ext uri="GoogleSheetsCustomDataVersion2">
      <go:sheetsCustomData xmlns:go="http://customooxmlschemas.google.com/" r:id="rId7" roundtripDataChecksum="q7saGb5gnrRo6dNJAqQLzpLF62msTzrOH/Z7M/J2ouk="/>
    </ext>
  </extLst>
</workbook>
</file>

<file path=xl/calcChain.xml><?xml version="1.0" encoding="utf-8"?>
<calcChain xmlns="http://schemas.openxmlformats.org/spreadsheetml/2006/main">
  <c r="I68" i="2" l="1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H68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H67" i="2"/>
  <c r="Y63" i="2"/>
  <c r="Y62" i="2"/>
  <c r="Y61" i="2"/>
  <c r="Y60" i="2"/>
  <c r="Y59" i="2"/>
  <c r="Y58" i="2"/>
  <c r="Y57" i="2"/>
  <c r="Y56" i="2"/>
  <c r="Y55" i="2"/>
  <c r="F63" i="2"/>
  <c r="Z63" i="2"/>
  <c r="Z62" i="2"/>
  <c r="Z61" i="2"/>
  <c r="Z60" i="2"/>
  <c r="Z59" i="2"/>
  <c r="Z58" i="2"/>
  <c r="Z57" i="2"/>
  <c r="Z56" i="2"/>
  <c r="Z55" i="2"/>
  <c r="Y32" i="9"/>
  <c r="I86" i="6" l="1"/>
  <c r="J86" i="6"/>
  <c r="K86" i="6"/>
  <c r="L86" i="6"/>
  <c r="M86" i="6"/>
  <c r="N86" i="6"/>
  <c r="O86" i="6"/>
  <c r="P86" i="6"/>
  <c r="H86" i="6"/>
  <c r="Q82" i="6"/>
  <c r="Q81" i="6"/>
  <c r="Q80" i="6"/>
  <c r="Q79" i="6"/>
  <c r="Q76" i="6"/>
  <c r="Q75" i="6"/>
  <c r="Q70" i="6"/>
  <c r="Q69" i="6"/>
  <c r="Q64" i="6"/>
  <c r="R80" i="6"/>
  <c r="R81" i="6"/>
  <c r="R82" i="6"/>
  <c r="Q62" i="6"/>
  <c r="Q61" i="6"/>
  <c r="Q60" i="6"/>
  <c r="Q59" i="6"/>
  <c r="Q56" i="6"/>
  <c r="Q55" i="6"/>
  <c r="Q50" i="6"/>
  <c r="Q49" i="6"/>
  <c r="Q44" i="6"/>
  <c r="R62" i="6"/>
  <c r="R61" i="6"/>
  <c r="R60" i="6"/>
  <c r="R79" i="6"/>
  <c r="R78" i="6"/>
  <c r="Q78" i="6"/>
  <c r="R77" i="6"/>
  <c r="Q77" i="6"/>
  <c r="R76" i="6"/>
  <c r="R75" i="6"/>
  <c r="R74" i="6"/>
  <c r="Q74" i="6"/>
  <c r="R73" i="6"/>
  <c r="Q73" i="6"/>
  <c r="R72" i="6"/>
  <c r="Q72" i="6"/>
  <c r="R71" i="6"/>
  <c r="Q71" i="6"/>
  <c r="R70" i="6"/>
  <c r="R69" i="6"/>
  <c r="R68" i="6"/>
  <c r="Q68" i="6"/>
  <c r="R67" i="6"/>
  <c r="Q67" i="6"/>
  <c r="R66" i="6"/>
  <c r="Q66" i="6"/>
  <c r="R65" i="6"/>
  <c r="Q65" i="6"/>
  <c r="R64" i="6"/>
  <c r="R59" i="6"/>
  <c r="R58" i="6"/>
  <c r="Q58" i="6"/>
  <c r="R57" i="6"/>
  <c r="Q57" i="6"/>
  <c r="R56" i="6"/>
  <c r="R55" i="6"/>
  <c r="R54" i="6"/>
  <c r="Q54" i="6"/>
  <c r="R53" i="6"/>
  <c r="Q53" i="6"/>
  <c r="R52" i="6"/>
  <c r="Q52" i="6"/>
  <c r="R51" i="6"/>
  <c r="Q51" i="6"/>
  <c r="R50" i="6"/>
  <c r="R49" i="6"/>
  <c r="R48" i="6"/>
  <c r="Q48" i="6"/>
  <c r="R47" i="6"/>
  <c r="Q47" i="6"/>
  <c r="R46" i="6"/>
  <c r="Q46" i="6"/>
  <c r="R45" i="6"/>
  <c r="Q45" i="6"/>
  <c r="R44" i="6"/>
  <c r="I135" i="3"/>
  <c r="J135" i="3"/>
  <c r="K135" i="3"/>
  <c r="L135" i="3"/>
  <c r="M135" i="3"/>
  <c r="N135" i="3"/>
  <c r="O135" i="3"/>
  <c r="P135" i="3"/>
  <c r="Q135" i="3"/>
  <c r="H135" i="3"/>
  <c r="R131" i="3"/>
  <c r="H138" i="3" s="1"/>
  <c r="R107" i="3"/>
  <c r="S107" i="3"/>
  <c r="S131" i="3"/>
  <c r="S130" i="3"/>
  <c r="R130" i="3"/>
  <c r="S129" i="3"/>
  <c r="R129" i="3"/>
  <c r="S128" i="3"/>
  <c r="R128" i="3"/>
  <c r="S127" i="3"/>
  <c r="R127" i="3"/>
  <c r="S126" i="3"/>
  <c r="R126" i="3"/>
  <c r="S125" i="3"/>
  <c r="R125" i="3"/>
  <c r="S124" i="3"/>
  <c r="R124" i="3"/>
  <c r="S123" i="3"/>
  <c r="R123" i="3"/>
  <c r="S122" i="3"/>
  <c r="R122" i="3"/>
  <c r="S121" i="3"/>
  <c r="R121" i="3"/>
  <c r="S120" i="3"/>
  <c r="R120" i="3"/>
  <c r="S119" i="3"/>
  <c r="R119" i="3"/>
  <c r="S118" i="3"/>
  <c r="R118" i="3"/>
  <c r="S117" i="3"/>
  <c r="R117" i="3"/>
  <c r="S116" i="3"/>
  <c r="R116" i="3"/>
  <c r="S115" i="3"/>
  <c r="R115" i="3"/>
  <c r="S114" i="3"/>
  <c r="R114" i="3"/>
  <c r="S113" i="3"/>
  <c r="R113" i="3"/>
  <c r="S112" i="3"/>
  <c r="R112" i="3"/>
  <c r="S111" i="3"/>
  <c r="R111" i="3"/>
  <c r="S110" i="3"/>
  <c r="R110" i="3"/>
  <c r="S109" i="3"/>
  <c r="R109" i="3"/>
  <c r="S106" i="3"/>
  <c r="R106" i="3"/>
  <c r="S105" i="3"/>
  <c r="R105" i="3"/>
  <c r="S104" i="3"/>
  <c r="R104" i="3"/>
  <c r="S103" i="3"/>
  <c r="R103" i="3"/>
  <c r="S102" i="3"/>
  <c r="R102" i="3"/>
  <c r="S101" i="3"/>
  <c r="R101" i="3"/>
  <c r="S100" i="3"/>
  <c r="R100" i="3"/>
  <c r="S99" i="3"/>
  <c r="R99" i="3"/>
  <c r="S98" i="3"/>
  <c r="R98" i="3"/>
  <c r="S97" i="3"/>
  <c r="R97" i="3"/>
  <c r="S96" i="3"/>
  <c r="R96" i="3"/>
  <c r="S95" i="3"/>
  <c r="R95" i="3"/>
  <c r="S94" i="3"/>
  <c r="R94" i="3"/>
  <c r="S93" i="3"/>
  <c r="R93" i="3"/>
  <c r="S92" i="3"/>
  <c r="R92" i="3"/>
  <c r="S91" i="3"/>
  <c r="R91" i="3"/>
  <c r="S90" i="3"/>
  <c r="R90" i="3"/>
  <c r="S89" i="3"/>
  <c r="R89" i="3"/>
  <c r="S88" i="3"/>
  <c r="R88" i="3"/>
  <c r="S87" i="3"/>
  <c r="R87" i="3"/>
  <c r="S86" i="3"/>
  <c r="R86" i="3"/>
  <c r="S85" i="3"/>
  <c r="R85" i="3"/>
  <c r="I44" i="9"/>
  <c r="J44" i="9"/>
  <c r="K44" i="9"/>
  <c r="L44" i="9"/>
  <c r="M44" i="9"/>
  <c r="N44" i="9"/>
  <c r="H44" i="9"/>
  <c r="I43" i="9"/>
  <c r="J43" i="9"/>
  <c r="K43" i="9"/>
  <c r="L43" i="9"/>
  <c r="M43" i="9"/>
  <c r="N43" i="9"/>
  <c r="H43" i="9"/>
  <c r="Z10" i="9"/>
  <c r="Y23" i="9"/>
  <c r="Y22" i="9"/>
  <c r="Y21" i="9"/>
  <c r="Y20" i="9"/>
  <c r="Y19" i="9"/>
  <c r="Y18" i="9"/>
  <c r="Y17" i="9"/>
  <c r="Y16" i="9"/>
  <c r="Y15" i="9"/>
  <c r="Y13" i="9"/>
  <c r="Y10" i="9"/>
  <c r="Z40" i="9"/>
  <c r="Y40" i="9"/>
  <c r="F40" i="9"/>
  <c r="Z39" i="9"/>
  <c r="Y39" i="9"/>
  <c r="Z38" i="9"/>
  <c r="Y38" i="9"/>
  <c r="Z37" i="9"/>
  <c r="Y37" i="9"/>
  <c r="Z36" i="9"/>
  <c r="Y36" i="9"/>
  <c r="Z35" i="9"/>
  <c r="Y35" i="9"/>
  <c r="Z34" i="9"/>
  <c r="Y34" i="9"/>
  <c r="Z33" i="9"/>
  <c r="Y33" i="9"/>
  <c r="Z32" i="9"/>
  <c r="Z31" i="9"/>
  <c r="Y31" i="9"/>
  <c r="Z30" i="9"/>
  <c r="Y30" i="9"/>
  <c r="Z29" i="9"/>
  <c r="Y29" i="9"/>
  <c r="Z28" i="9"/>
  <c r="Y28" i="9"/>
  <c r="Z27" i="9"/>
  <c r="Y27" i="9"/>
  <c r="Z26" i="9"/>
  <c r="Y26" i="9"/>
  <c r="Z23" i="9"/>
  <c r="Z22" i="9"/>
  <c r="Z21" i="9"/>
  <c r="Z20" i="9"/>
  <c r="Z19" i="9"/>
  <c r="Z18" i="9"/>
  <c r="Z17" i="9"/>
  <c r="Z16" i="9"/>
  <c r="Z15" i="9"/>
  <c r="Z14" i="9"/>
  <c r="Y14" i="9"/>
  <c r="Z13" i="9"/>
  <c r="Z12" i="9"/>
  <c r="Y12" i="9"/>
  <c r="Z11" i="9"/>
  <c r="Y11" i="9"/>
  <c r="N3" i="9"/>
  <c r="R35" i="6"/>
  <c r="R33" i="6"/>
  <c r="R82" i="3"/>
  <c r="R57" i="3"/>
  <c r="R32" i="3"/>
  <c r="Q24" i="6"/>
  <c r="Q41" i="6"/>
  <c r="R64" i="3"/>
  <c r="R65" i="3"/>
  <c r="R66" i="3"/>
  <c r="R67" i="3"/>
  <c r="R60" i="3"/>
  <c r="S67" i="3"/>
  <c r="S66" i="3"/>
  <c r="S65" i="3"/>
  <c r="S64" i="3"/>
  <c r="S60" i="3"/>
  <c r="S10" i="3"/>
  <c r="R14" i="3"/>
  <c r="R15" i="3"/>
  <c r="R16" i="3"/>
  <c r="R17" i="3"/>
  <c r="R10" i="3"/>
  <c r="R39" i="3"/>
  <c r="R40" i="3"/>
  <c r="R41" i="3"/>
  <c r="R42" i="3"/>
  <c r="R35" i="3"/>
  <c r="R36" i="3"/>
  <c r="S42" i="3"/>
  <c r="S41" i="3"/>
  <c r="S40" i="3"/>
  <c r="S39" i="3"/>
  <c r="S35" i="3"/>
  <c r="S17" i="3"/>
  <c r="S16" i="3"/>
  <c r="S15" i="3"/>
  <c r="S14" i="3"/>
  <c r="R41" i="6"/>
  <c r="R40" i="6"/>
  <c r="Q40" i="6"/>
  <c r="R39" i="6"/>
  <c r="Q39" i="6"/>
  <c r="R38" i="6"/>
  <c r="Q38" i="6"/>
  <c r="R37" i="6"/>
  <c r="Q37" i="6"/>
  <c r="R36" i="6"/>
  <c r="Q36" i="6"/>
  <c r="Q35" i="6"/>
  <c r="R34" i="6"/>
  <c r="Q34" i="6"/>
  <c r="Q33" i="6"/>
  <c r="R32" i="6"/>
  <c r="Q32" i="6"/>
  <c r="R31" i="6"/>
  <c r="Q31" i="6"/>
  <c r="R30" i="6"/>
  <c r="Q30" i="6"/>
  <c r="R29" i="6"/>
  <c r="Q29" i="6"/>
  <c r="R28" i="6"/>
  <c r="Q28" i="6"/>
  <c r="R27" i="6"/>
  <c r="Q27" i="6"/>
  <c r="R26" i="6"/>
  <c r="Q26" i="6"/>
  <c r="K3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9" i="6"/>
  <c r="H89" i="6" l="1"/>
  <c r="H92" i="6"/>
  <c r="S4" i="6" s="1"/>
  <c r="H25" i="1" s="1"/>
  <c r="S3" i="6"/>
  <c r="I49" i="9"/>
  <c r="M49" i="9"/>
  <c r="K49" i="9"/>
  <c r="H49" i="9"/>
  <c r="J49" i="9"/>
  <c r="L49" i="9"/>
  <c r="R49" i="9"/>
  <c r="P49" i="9"/>
  <c r="S49" i="9"/>
  <c r="U49" i="9"/>
  <c r="T49" i="9"/>
  <c r="V49" i="9"/>
  <c r="O49" i="9"/>
  <c r="Q49" i="9"/>
  <c r="N49" i="9"/>
  <c r="W49" i="9"/>
  <c r="H51" i="9"/>
  <c r="H56" i="9"/>
  <c r="Z5" i="9" s="1"/>
  <c r="H23" i="1" s="1"/>
  <c r="H55" i="9"/>
  <c r="H54" i="9"/>
  <c r="Z4" i="9"/>
  <c r="G23" i="1" s="1"/>
  <c r="Z2" i="9"/>
  <c r="F23" i="1" s="1"/>
  <c r="Z3" i="9"/>
  <c r="E23" i="1" s="1"/>
  <c r="S11" i="3"/>
  <c r="S12" i="3"/>
  <c r="S13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4" i="3"/>
  <c r="S36" i="3"/>
  <c r="S37" i="3"/>
  <c r="S38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9" i="3"/>
  <c r="S61" i="3"/>
  <c r="S62" i="3"/>
  <c r="S63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9" i="3"/>
  <c r="Y52" i="2"/>
  <c r="Y51" i="2"/>
  <c r="Z52" i="2"/>
  <c r="Z51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27" i="2"/>
  <c r="Y48" i="2"/>
  <c r="Y44" i="2"/>
  <c r="Y40" i="2"/>
  <c r="Y39" i="2"/>
  <c r="Y36" i="2"/>
  <c r="Y33" i="2"/>
  <c r="Y32" i="2"/>
  <c r="Y31" i="2"/>
  <c r="Y21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H80" i="2" s="1"/>
  <c r="Z10" i="2"/>
  <c r="Y24" i="2"/>
  <c r="Y23" i="2"/>
  <c r="Y22" i="2"/>
  <c r="Y20" i="2"/>
  <c r="Y11" i="2"/>
  <c r="L3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3" i="3"/>
  <c r="R62" i="3"/>
  <c r="R61" i="3"/>
  <c r="R59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38" i="3"/>
  <c r="R37" i="3"/>
  <c r="R34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3" i="3"/>
  <c r="R12" i="3"/>
  <c r="R11" i="3"/>
  <c r="R9" i="3"/>
  <c r="F48" i="2"/>
  <c r="Y47" i="2"/>
  <c r="Y46" i="2"/>
  <c r="Y45" i="2"/>
  <c r="Y43" i="2"/>
  <c r="Y42" i="2"/>
  <c r="Y41" i="2"/>
  <c r="Y38" i="2"/>
  <c r="Y37" i="2"/>
  <c r="Y35" i="2"/>
  <c r="Y34" i="2"/>
  <c r="Y30" i="2"/>
  <c r="Y29" i="2"/>
  <c r="Y28" i="2"/>
  <c r="Y27" i="2"/>
  <c r="F24" i="2"/>
  <c r="Y19" i="2"/>
  <c r="Y18" i="2"/>
  <c r="Y17" i="2"/>
  <c r="Y16" i="2"/>
  <c r="Y15" i="2"/>
  <c r="Y14" i="2"/>
  <c r="Y13" i="2"/>
  <c r="Y12" i="2"/>
  <c r="Y10" i="2"/>
  <c r="N3" i="2"/>
  <c r="I6" i="1"/>
  <c r="Q73" i="2" l="1"/>
  <c r="P73" i="2"/>
  <c r="W73" i="2"/>
  <c r="O73" i="2"/>
  <c r="V73" i="2"/>
  <c r="N73" i="2"/>
  <c r="K26" i="1" s="1"/>
  <c r="U73" i="2"/>
  <c r="M73" i="2"/>
  <c r="K25" i="1" s="1"/>
  <c r="T73" i="2"/>
  <c r="S73" i="2"/>
  <c r="R73" i="2"/>
  <c r="H73" i="2"/>
  <c r="K20" i="1" s="1"/>
  <c r="J73" i="2"/>
  <c r="K22" i="1" s="1"/>
  <c r="H75" i="2"/>
  <c r="L31" i="1" s="1"/>
  <c r="I73" i="2"/>
  <c r="K21" i="1" s="1"/>
  <c r="K73" i="2"/>
  <c r="K23" i="1" s="1"/>
  <c r="L73" i="2"/>
  <c r="Z4" i="2"/>
  <c r="G22" i="1" s="1"/>
  <c r="T3" i="3"/>
  <c r="G24" i="1" s="1"/>
  <c r="K29" i="1"/>
  <c r="K30" i="1"/>
  <c r="K24" i="1"/>
  <c r="K27" i="1"/>
  <c r="K28" i="1"/>
  <c r="H141" i="3"/>
  <c r="T4" i="3" s="1"/>
  <c r="H24" i="1" s="1"/>
  <c r="Z5" i="2"/>
  <c r="H22" i="1" s="1"/>
  <c r="H91" i="6"/>
  <c r="S2" i="6" s="1"/>
  <c r="F25" i="1" s="1"/>
  <c r="G25" i="1"/>
  <c r="H140" i="3"/>
  <c r="T2" i="3" s="1"/>
  <c r="F24" i="1" s="1"/>
  <c r="Z2" i="2"/>
  <c r="F22" i="1" s="1"/>
  <c r="H79" i="2"/>
  <c r="H78" i="2"/>
  <c r="Z3" i="2"/>
  <c r="E22" i="1" s="1"/>
  <c r="E26" i="1" s="1"/>
  <c r="H26" i="1" l="1"/>
  <c r="H31" i="1" s="1"/>
  <c r="F26" i="1"/>
  <c r="G26" i="1"/>
</calcChain>
</file>

<file path=xl/sharedStrings.xml><?xml version="1.0" encoding="utf-8"?>
<sst xmlns="http://schemas.openxmlformats.org/spreadsheetml/2006/main" count="590" uniqueCount="400">
  <si>
    <t>Date:</t>
  </si>
  <si>
    <t>Billing address</t>
  </si>
  <si>
    <t>Delivery address</t>
  </si>
  <si>
    <t>Company Name</t>
  </si>
  <si>
    <t>Street</t>
  </si>
  <si>
    <t>Postcode, City</t>
  </si>
  <si>
    <t>Country</t>
  </si>
  <si>
    <t>VAT-Number</t>
  </si>
  <si>
    <t>Mail</t>
  </si>
  <si>
    <t>Telephone</t>
  </si>
  <si>
    <t>Summary of Order</t>
  </si>
  <si>
    <t>Sets</t>
  </si>
  <si>
    <t>Weight (kg)</t>
  </si>
  <si>
    <t>Price</t>
  </si>
  <si>
    <t>Macros</t>
  </si>
  <si>
    <t>Total Order</t>
  </si>
  <si>
    <t>Discount:</t>
  </si>
  <si>
    <t>Prices without Taxes</t>
  </si>
  <si>
    <t>Total Holds</t>
  </si>
  <si>
    <t>Total Sets</t>
  </si>
  <si>
    <t>Total Weight (kg)</t>
  </si>
  <si>
    <t>Price +5%</t>
  </si>
  <si>
    <t>Art.-No.</t>
  </si>
  <si>
    <t>Name</t>
  </si>
  <si>
    <t>Size</t>
  </si>
  <si>
    <t>Holds in Set</t>
  </si>
  <si>
    <t>White</t>
  </si>
  <si>
    <t>Black</t>
  </si>
  <si>
    <t>Blue</t>
  </si>
  <si>
    <t xml:space="preserve"> Red</t>
  </si>
  <si>
    <t>Yellow</t>
  </si>
  <si>
    <t>Green</t>
  </si>
  <si>
    <t>Orange</t>
  </si>
  <si>
    <t>Brown</t>
  </si>
  <si>
    <t>Violet</t>
  </si>
  <si>
    <t>Purple</t>
  </si>
  <si>
    <t>Mint</t>
  </si>
  <si>
    <t xml:space="preserve">Light Grey </t>
  </si>
  <si>
    <t>Dark Grey</t>
  </si>
  <si>
    <t>Pink Fluo</t>
  </si>
  <si>
    <t>Orange Fluo</t>
  </si>
  <si>
    <t>Green Fluo</t>
  </si>
  <si>
    <t>Yellow Fluo</t>
  </si>
  <si>
    <t>Number of Holds</t>
  </si>
  <si>
    <r>
      <rPr>
        <b/>
        <sz val="18"/>
        <color theme="1"/>
        <rFont val="Calibri"/>
        <family val="2"/>
      </rPr>
      <t xml:space="preserve">Price         </t>
    </r>
    <r>
      <rPr>
        <b/>
        <sz val="8"/>
        <color theme="1"/>
        <rFont val="Calibri"/>
        <family val="2"/>
      </rPr>
      <t>(without Taxes)</t>
    </r>
  </si>
  <si>
    <t>Footholds</t>
  </si>
  <si>
    <t>XS</t>
  </si>
  <si>
    <t>S</t>
  </si>
  <si>
    <t>M</t>
  </si>
  <si>
    <t>L</t>
  </si>
  <si>
    <t>XL</t>
  </si>
  <si>
    <t>XXL</t>
  </si>
  <si>
    <t>S-M</t>
  </si>
  <si>
    <t>L-XL</t>
  </si>
  <si>
    <t>XS-XXL</t>
  </si>
  <si>
    <t xml:space="preserve">Screw-Ons </t>
  </si>
  <si>
    <t>XXS</t>
  </si>
  <si>
    <t>M-L</t>
  </si>
  <si>
    <t>RAL 9001*</t>
  </si>
  <si>
    <t>RAL 9004*</t>
  </si>
  <si>
    <t>RAL 3020*</t>
  </si>
  <si>
    <t>RAL 1023*</t>
  </si>
  <si>
    <t>RAL 6037*</t>
  </si>
  <si>
    <t>RAL 2011*</t>
  </si>
  <si>
    <t>RAL 8003*</t>
  </si>
  <si>
    <t>NCS 4050-R60B*</t>
  </si>
  <si>
    <t>RAL 4008*</t>
  </si>
  <si>
    <t>RAL 6027*</t>
  </si>
  <si>
    <t>RAL 7038*</t>
  </si>
  <si>
    <t>RAL 7037*</t>
  </si>
  <si>
    <t>RAL 4003*</t>
  </si>
  <si>
    <t>RAL 2008*</t>
  </si>
  <si>
    <t>RAL 6018*</t>
  </si>
  <si>
    <t>RAL 1026*</t>
  </si>
  <si>
    <t>Total Holds per color</t>
  </si>
  <si>
    <t>Total Sets per color</t>
  </si>
  <si>
    <t>*All color specifications (RAL and NCS) are best possible approximations. Slight deviations can not be excluded.</t>
  </si>
  <si>
    <t>Total Macros</t>
  </si>
  <si>
    <t>Total Weigth (kg)</t>
  </si>
  <si>
    <t xml:space="preserve">Grey </t>
  </si>
  <si>
    <r>
      <rPr>
        <b/>
        <sz val="18"/>
        <color theme="1"/>
        <rFont val="Calibri"/>
        <family val="2"/>
      </rPr>
      <t xml:space="preserve">Price         </t>
    </r>
    <r>
      <rPr>
        <b/>
        <sz val="8"/>
        <color theme="1"/>
        <rFont val="Calibri"/>
        <family val="2"/>
      </rPr>
      <t>(without Taxes)</t>
    </r>
  </si>
  <si>
    <t>RAL 9010*</t>
  </si>
  <si>
    <t>RAL 9005*</t>
  </si>
  <si>
    <t>RAL 5015*</t>
  </si>
  <si>
    <t>RAL 2003*</t>
  </si>
  <si>
    <t>RAL 7046*</t>
  </si>
  <si>
    <t>Total Macros per color</t>
  </si>
  <si>
    <t>Total Price Macros</t>
  </si>
  <si>
    <t>S-L</t>
  </si>
  <si>
    <t xml:space="preserve">Total Price </t>
  </si>
  <si>
    <t xml:space="preserve">incut Footholds </t>
  </si>
  <si>
    <t xml:space="preserve">slopy Footholds </t>
  </si>
  <si>
    <t>CANDLES    PU</t>
  </si>
  <si>
    <t>Anthracite</t>
  </si>
  <si>
    <t>Special request</t>
  </si>
  <si>
    <t>RAL 9003*</t>
  </si>
  <si>
    <t>RAL 7016*</t>
  </si>
  <si>
    <t>RAL 7040*</t>
  </si>
  <si>
    <t>RAL 2004*</t>
  </si>
  <si>
    <t>RAL 6029*</t>
  </si>
  <si>
    <t>Number of Volumes</t>
  </si>
  <si>
    <t>Volumes in Set</t>
  </si>
  <si>
    <t>Total Volumes</t>
  </si>
  <si>
    <t>Total Price Volumes</t>
  </si>
  <si>
    <t>S-XL</t>
  </si>
  <si>
    <t>Macros in Set</t>
  </si>
  <si>
    <t>Number of Macros</t>
  </si>
  <si>
    <t>NEW</t>
  </si>
  <si>
    <t>Total Price Holds</t>
  </si>
  <si>
    <t>wish colour</t>
  </si>
  <si>
    <t>CANDLES    Macros</t>
  </si>
  <si>
    <t>PETALS    Plywood</t>
  </si>
  <si>
    <t>Holds / Volumes</t>
  </si>
  <si>
    <t>Handholds Set 1</t>
  </si>
  <si>
    <t>Handholds Set 2</t>
  </si>
  <si>
    <t>Handholds Set 3</t>
  </si>
  <si>
    <t>Handholds Set 4</t>
  </si>
  <si>
    <t>Handholds Set 5</t>
  </si>
  <si>
    <t>Handholds Set 6</t>
  </si>
  <si>
    <t>Footholds Set 1</t>
  </si>
  <si>
    <t>Footholds Set 2</t>
  </si>
  <si>
    <t>Footholds Set 3</t>
  </si>
  <si>
    <t>Footholds Set 4</t>
  </si>
  <si>
    <t>Footholds Set 5</t>
  </si>
  <si>
    <t>XS-S</t>
  </si>
  <si>
    <t>XXS-XS</t>
  </si>
  <si>
    <t>XXS-L</t>
  </si>
  <si>
    <t>COMBINATION    PU</t>
  </si>
  <si>
    <t>more PU colors coming soon</t>
  </si>
  <si>
    <t>DREAMERS    Macros</t>
  </si>
  <si>
    <t>TRIOS    Plywood</t>
  </si>
  <si>
    <t>PU Holds</t>
  </si>
  <si>
    <t>PE Holds</t>
  </si>
  <si>
    <t>needed M10 Bolts</t>
  </si>
  <si>
    <t>needed Spax Screws</t>
  </si>
  <si>
    <t>Full Set</t>
  </si>
  <si>
    <t>XL-XXL</t>
  </si>
  <si>
    <t>S-XXL</t>
  </si>
  <si>
    <t>needed Spax</t>
  </si>
  <si>
    <t>needed Bolts</t>
  </si>
  <si>
    <r>
      <t xml:space="preserve">Jugs </t>
    </r>
    <r>
      <rPr>
        <b/>
        <sz val="12"/>
        <color theme="1"/>
        <rFont val="Calibri"/>
        <family val="2"/>
      </rPr>
      <t>S</t>
    </r>
    <r>
      <rPr>
        <sz val="12"/>
        <color theme="1"/>
        <rFont val="Calibri"/>
        <family val="2"/>
      </rPr>
      <t xml:space="preserve"> </t>
    </r>
  </si>
  <si>
    <r>
      <t xml:space="preserve">Jugs </t>
    </r>
    <r>
      <rPr>
        <b/>
        <sz val="12"/>
        <color theme="1"/>
        <rFont val="Calibri"/>
        <family val="2"/>
      </rPr>
      <t>M</t>
    </r>
  </si>
  <si>
    <r>
      <t xml:space="preserve">Jugs </t>
    </r>
    <r>
      <rPr>
        <b/>
        <sz val="12"/>
        <color theme="1"/>
        <rFont val="Calibri"/>
        <family val="2"/>
      </rPr>
      <t>L</t>
    </r>
  </si>
  <si>
    <r>
      <t xml:space="preserve">Jugs </t>
    </r>
    <r>
      <rPr>
        <b/>
        <sz val="12"/>
        <color theme="1"/>
        <rFont val="Calibri"/>
        <family val="2"/>
      </rPr>
      <t>XL</t>
    </r>
  </si>
  <si>
    <r>
      <t xml:space="preserve">Jugs </t>
    </r>
    <r>
      <rPr>
        <b/>
        <sz val="12"/>
        <color theme="1"/>
        <rFont val="Calibri"/>
        <family val="2"/>
      </rPr>
      <t>XXL</t>
    </r>
  </si>
  <si>
    <r>
      <t xml:space="preserve">positiv Slopers </t>
    </r>
    <r>
      <rPr>
        <b/>
        <sz val="12"/>
        <color theme="1"/>
        <rFont val="Calibri"/>
        <family val="2"/>
      </rPr>
      <t>M</t>
    </r>
  </si>
  <si>
    <r>
      <t xml:space="preserve">positiv Slopers </t>
    </r>
    <r>
      <rPr>
        <b/>
        <sz val="12"/>
        <color theme="1"/>
        <rFont val="Calibri"/>
        <family val="2"/>
      </rPr>
      <t>L</t>
    </r>
  </si>
  <si>
    <r>
      <t xml:space="preserve">positiv Slopers </t>
    </r>
    <r>
      <rPr>
        <b/>
        <sz val="12"/>
        <color theme="1"/>
        <rFont val="Calibri"/>
        <family val="2"/>
      </rPr>
      <t>XL</t>
    </r>
  </si>
  <si>
    <r>
      <t xml:space="preserve">positiv Slopers </t>
    </r>
    <r>
      <rPr>
        <b/>
        <sz val="12"/>
        <color theme="1"/>
        <rFont val="Calibri"/>
        <family val="2"/>
      </rPr>
      <t>XXL</t>
    </r>
  </si>
  <si>
    <r>
      <t xml:space="preserve">open Edges </t>
    </r>
    <r>
      <rPr>
        <b/>
        <sz val="12"/>
        <color theme="1"/>
        <rFont val="Calibri"/>
        <family val="2"/>
      </rPr>
      <t>S-M</t>
    </r>
    <r>
      <rPr>
        <sz val="12"/>
        <color rgb="FFFF0000"/>
        <rFont val="Calibri"/>
        <family val="2"/>
      </rPr>
      <t xml:space="preserve"> </t>
    </r>
  </si>
  <si>
    <r>
      <t xml:space="preserve">Crimps </t>
    </r>
    <r>
      <rPr>
        <b/>
        <sz val="12"/>
        <color theme="1"/>
        <rFont val="Calibri"/>
        <family val="2"/>
      </rPr>
      <t>S-M</t>
    </r>
    <r>
      <rPr>
        <sz val="12"/>
        <color theme="1"/>
        <rFont val="Calibri"/>
        <family val="2"/>
      </rPr>
      <t xml:space="preserve"> </t>
    </r>
  </si>
  <si>
    <r>
      <t xml:space="preserve">Edges </t>
    </r>
    <r>
      <rPr>
        <b/>
        <sz val="12"/>
        <color theme="1"/>
        <rFont val="Calibri"/>
        <family val="2"/>
      </rPr>
      <t>S-L</t>
    </r>
    <r>
      <rPr>
        <sz val="12"/>
        <color theme="1"/>
        <rFont val="Calibri"/>
        <family val="2"/>
      </rPr>
      <t xml:space="preserve"> </t>
    </r>
  </si>
  <si>
    <r>
      <t xml:space="preserve">Slopers </t>
    </r>
    <r>
      <rPr>
        <b/>
        <sz val="12"/>
        <color theme="1"/>
        <rFont val="Calibri"/>
        <family val="2"/>
      </rPr>
      <t xml:space="preserve">M-L </t>
    </r>
  </si>
  <si>
    <r>
      <t xml:space="preserve">Curves </t>
    </r>
    <r>
      <rPr>
        <b/>
        <sz val="12"/>
        <color theme="1"/>
        <rFont val="Calibri"/>
        <family val="2"/>
      </rPr>
      <t>Full Set</t>
    </r>
  </si>
  <si>
    <r>
      <t xml:space="preserve">Jugs </t>
    </r>
    <r>
      <rPr>
        <b/>
        <sz val="12"/>
        <color theme="1"/>
        <rFont val="Calibri"/>
        <family val="2"/>
      </rPr>
      <t>S-M</t>
    </r>
    <r>
      <rPr>
        <sz val="12"/>
        <color theme="1"/>
        <rFont val="Calibri"/>
        <family val="2"/>
      </rPr>
      <t xml:space="preserve"> </t>
    </r>
  </si>
  <si>
    <r>
      <t xml:space="preserve">Jugs </t>
    </r>
    <r>
      <rPr>
        <b/>
        <sz val="12"/>
        <color theme="1"/>
        <rFont val="Calibri"/>
        <family val="2"/>
      </rPr>
      <t>XL</t>
    </r>
    <r>
      <rPr>
        <sz val="12"/>
        <color theme="1"/>
        <rFont val="Calibri"/>
        <family val="2"/>
      </rPr>
      <t xml:space="preserve"> </t>
    </r>
  </si>
  <si>
    <r>
      <t xml:space="preserve">Jugs </t>
    </r>
    <r>
      <rPr>
        <b/>
        <sz val="12"/>
        <color theme="1"/>
        <rFont val="Calibri"/>
        <family val="2"/>
      </rPr>
      <t>XXL</t>
    </r>
    <r>
      <rPr>
        <sz val="12"/>
        <color theme="1"/>
        <rFont val="Calibri"/>
        <family val="2"/>
      </rPr>
      <t xml:space="preserve"> </t>
    </r>
  </si>
  <si>
    <r>
      <t xml:space="preserve">open Crimps </t>
    </r>
    <r>
      <rPr>
        <b/>
        <sz val="12"/>
        <color theme="1"/>
        <rFont val="Calibri"/>
        <family val="2"/>
      </rPr>
      <t>S</t>
    </r>
  </si>
  <si>
    <r>
      <t xml:space="preserve">incut Crimps </t>
    </r>
    <r>
      <rPr>
        <b/>
        <sz val="12"/>
        <color theme="1"/>
        <rFont val="Calibri"/>
        <family val="2"/>
      </rPr>
      <t>S</t>
    </r>
  </si>
  <si>
    <r>
      <t xml:space="preserve">open Edges </t>
    </r>
    <r>
      <rPr>
        <b/>
        <sz val="12"/>
        <color theme="1"/>
        <rFont val="Calibri"/>
        <family val="2"/>
      </rPr>
      <t xml:space="preserve">S </t>
    </r>
  </si>
  <si>
    <r>
      <t xml:space="preserve">mini Crimps </t>
    </r>
    <r>
      <rPr>
        <b/>
        <sz val="12"/>
        <color theme="1"/>
        <rFont val="Calibri"/>
        <family val="2"/>
      </rPr>
      <t xml:space="preserve">S-M </t>
    </r>
  </si>
  <si>
    <r>
      <t xml:space="preserve">incut Crimps </t>
    </r>
    <r>
      <rPr>
        <b/>
        <sz val="12"/>
        <color theme="1"/>
        <rFont val="Calibri"/>
        <family val="2"/>
      </rPr>
      <t>M</t>
    </r>
  </si>
  <si>
    <r>
      <t xml:space="preserve">positiv Edges </t>
    </r>
    <r>
      <rPr>
        <b/>
        <sz val="12"/>
        <color theme="1"/>
        <rFont val="Calibri"/>
        <family val="2"/>
      </rPr>
      <t>M</t>
    </r>
    <r>
      <rPr>
        <sz val="12"/>
        <color theme="1"/>
        <rFont val="Calibri"/>
        <family val="2"/>
      </rPr>
      <t xml:space="preserve"> </t>
    </r>
  </si>
  <si>
    <r>
      <t xml:space="preserve">open Edges </t>
    </r>
    <r>
      <rPr>
        <b/>
        <sz val="12"/>
        <color theme="1"/>
        <rFont val="Calibri"/>
        <family val="2"/>
      </rPr>
      <t xml:space="preserve">M </t>
    </r>
  </si>
  <si>
    <r>
      <t xml:space="preserve">incut Edges </t>
    </r>
    <r>
      <rPr>
        <b/>
        <sz val="12"/>
        <color theme="1"/>
        <rFont val="Calibri"/>
        <family val="2"/>
      </rPr>
      <t>L</t>
    </r>
    <r>
      <rPr>
        <sz val="12"/>
        <color theme="1"/>
        <rFont val="Calibri"/>
        <family val="2"/>
      </rPr>
      <t xml:space="preserve"> </t>
    </r>
  </si>
  <si>
    <r>
      <t xml:space="preserve">incut Plates </t>
    </r>
    <r>
      <rPr>
        <b/>
        <sz val="12"/>
        <color theme="1"/>
        <rFont val="Calibri"/>
        <family val="2"/>
      </rPr>
      <t>L</t>
    </r>
    <r>
      <rPr>
        <sz val="12"/>
        <color theme="1"/>
        <rFont val="Calibri"/>
        <family val="2"/>
      </rPr>
      <t xml:space="preserve"> </t>
    </r>
  </si>
  <si>
    <r>
      <t xml:space="preserve">slopy-incut Edges </t>
    </r>
    <r>
      <rPr>
        <b/>
        <sz val="12"/>
        <color theme="1"/>
        <rFont val="Calibri"/>
        <family val="2"/>
      </rPr>
      <t>L</t>
    </r>
  </si>
  <si>
    <r>
      <t xml:space="preserve">Slopers </t>
    </r>
    <r>
      <rPr>
        <b/>
        <sz val="12"/>
        <color theme="1"/>
        <rFont val="Calibri"/>
        <family val="2"/>
      </rPr>
      <t>L-XL</t>
    </r>
  </si>
  <si>
    <r>
      <t xml:space="preserve">big Edges </t>
    </r>
    <r>
      <rPr>
        <b/>
        <sz val="12"/>
        <color theme="1"/>
        <rFont val="Calibri"/>
        <family val="2"/>
      </rPr>
      <t>XL</t>
    </r>
  </si>
  <si>
    <r>
      <t xml:space="preserve">Edges </t>
    </r>
    <r>
      <rPr>
        <b/>
        <sz val="12"/>
        <color theme="1"/>
        <rFont val="Calibri"/>
        <family val="2"/>
      </rPr>
      <t>XXL</t>
    </r>
    <r>
      <rPr>
        <sz val="12"/>
        <color theme="1"/>
        <rFont val="Calibri"/>
        <family val="2"/>
      </rPr>
      <t xml:space="preserve"> </t>
    </r>
  </si>
  <si>
    <r>
      <t xml:space="preserve">positiv Slopers </t>
    </r>
    <r>
      <rPr>
        <b/>
        <sz val="12"/>
        <color theme="1"/>
        <rFont val="Calibri"/>
        <family val="2"/>
      </rPr>
      <t>XXL</t>
    </r>
    <r>
      <rPr>
        <sz val="12"/>
        <color theme="1"/>
        <rFont val="Calibri"/>
        <family val="2"/>
      </rPr>
      <t xml:space="preserve"> </t>
    </r>
  </si>
  <si>
    <r>
      <t xml:space="preserve">Coasts </t>
    </r>
    <r>
      <rPr>
        <b/>
        <sz val="12"/>
        <color theme="1"/>
        <rFont val="Calibri"/>
        <family val="2"/>
      </rPr>
      <t>Full Set</t>
    </r>
    <r>
      <rPr>
        <sz val="12"/>
        <color theme="1"/>
        <rFont val="Calibri"/>
        <family val="2"/>
      </rPr>
      <t xml:space="preserve"> </t>
    </r>
  </si>
  <si>
    <r>
      <t xml:space="preserve">Spax </t>
    </r>
    <r>
      <rPr>
        <b/>
        <sz val="12"/>
        <color theme="1"/>
        <rFont val="Calibri"/>
        <family val="2"/>
      </rPr>
      <t>XS</t>
    </r>
  </si>
  <si>
    <r>
      <t xml:space="preserve">Spax </t>
    </r>
    <r>
      <rPr>
        <b/>
        <sz val="12"/>
        <color theme="1"/>
        <rFont val="Calibri"/>
        <family val="2"/>
      </rPr>
      <t>S</t>
    </r>
  </si>
  <si>
    <r>
      <t xml:space="preserve">Footholds </t>
    </r>
    <r>
      <rPr>
        <b/>
        <sz val="12"/>
        <color theme="1"/>
        <rFont val="Calibri"/>
        <family val="2"/>
      </rPr>
      <t>S</t>
    </r>
  </si>
  <si>
    <r>
      <t xml:space="preserve">Footholds / Sloper </t>
    </r>
    <r>
      <rPr>
        <b/>
        <sz val="12"/>
        <color theme="1"/>
        <rFont val="Calibri"/>
        <family val="2"/>
      </rPr>
      <t>M-L</t>
    </r>
  </si>
  <si>
    <r>
      <t>Jugs</t>
    </r>
    <r>
      <rPr>
        <b/>
        <sz val="12"/>
        <color theme="1"/>
        <rFont val="Calibri"/>
        <family val="2"/>
      </rPr>
      <t xml:space="preserve"> M</t>
    </r>
  </si>
  <si>
    <r>
      <t xml:space="preserve">Jugs </t>
    </r>
    <r>
      <rPr>
        <b/>
        <sz val="12"/>
        <color theme="1"/>
        <rFont val="Calibri"/>
        <family val="2"/>
      </rPr>
      <t>L-XL</t>
    </r>
  </si>
  <si>
    <r>
      <t>Jugs</t>
    </r>
    <r>
      <rPr>
        <b/>
        <sz val="12"/>
        <color theme="1"/>
        <rFont val="Calibri"/>
        <family val="2"/>
      </rPr>
      <t xml:space="preserve"> XXL</t>
    </r>
  </si>
  <si>
    <r>
      <t xml:space="preserve">incut Edges </t>
    </r>
    <r>
      <rPr>
        <b/>
        <sz val="12"/>
        <color theme="1"/>
        <rFont val="Calibri"/>
        <family val="2"/>
      </rPr>
      <t>S-L</t>
    </r>
  </si>
  <si>
    <r>
      <t xml:space="preserve">Pockets </t>
    </r>
    <r>
      <rPr>
        <b/>
        <sz val="12"/>
        <color theme="1"/>
        <rFont val="Calibri"/>
        <family val="2"/>
      </rPr>
      <t>L</t>
    </r>
  </si>
  <si>
    <r>
      <t xml:space="preserve">Pockets </t>
    </r>
    <r>
      <rPr>
        <b/>
        <sz val="12"/>
        <color theme="1"/>
        <rFont val="Calibri"/>
        <family val="2"/>
      </rPr>
      <t>XL-XXL</t>
    </r>
  </si>
  <si>
    <r>
      <t xml:space="preserve">Handholds </t>
    </r>
    <r>
      <rPr>
        <b/>
        <sz val="12"/>
        <color theme="1"/>
        <rFont val="Calibri"/>
        <family val="2"/>
      </rPr>
      <t>Full Range</t>
    </r>
  </si>
  <si>
    <r>
      <t xml:space="preserve">Footholds </t>
    </r>
    <r>
      <rPr>
        <b/>
        <sz val="12"/>
        <color theme="1"/>
        <rFont val="Calibri"/>
        <family val="2"/>
      </rPr>
      <t>Full Range</t>
    </r>
  </si>
  <si>
    <r>
      <t xml:space="preserve">Combination PU </t>
    </r>
    <r>
      <rPr>
        <b/>
        <sz val="12"/>
        <color theme="1"/>
        <rFont val="Calibri"/>
        <family val="2"/>
      </rPr>
      <t>Full Range</t>
    </r>
  </si>
  <si>
    <r>
      <t xml:space="preserve">real Jugs </t>
    </r>
    <r>
      <rPr>
        <b/>
        <sz val="12"/>
        <color theme="1"/>
        <rFont val="Calibri"/>
        <family val="2"/>
      </rPr>
      <t>XL</t>
    </r>
  </si>
  <si>
    <r>
      <t xml:space="preserve">open Edges </t>
    </r>
    <r>
      <rPr>
        <b/>
        <sz val="12"/>
        <color theme="1"/>
        <rFont val="Calibri"/>
        <family val="2"/>
      </rPr>
      <t>S-L</t>
    </r>
  </si>
  <si>
    <r>
      <t xml:space="preserve">incut Edges </t>
    </r>
    <r>
      <rPr>
        <b/>
        <sz val="12"/>
        <color theme="1"/>
        <rFont val="Calibri"/>
        <family val="2"/>
      </rPr>
      <t>M-L</t>
    </r>
  </si>
  <si>
    <r>
      <t xml:space="preserve">Incut Crimps </t>
    </r>
    <r>
      <rPr>
        <b/>
        <sz val="12"/>
        <color theme="1"/>
        <rFont val="Calibri"/>
        <family val="2"/>
      </rPr>
      <t>L</t>
    </r>
  </si>
  <si>
    <r>
      <t xml:space="preserve">long Edges </t>
    </r>
    <r>
      <rPr>
        <b/>
        <sz val="12"/>
        <color theme="1"/>
        <rFont val="Calibri"/>
        <family val="2"/>
      </rPr>
      <t>L</t>
    </r>
  </si>
  <si>
    <r>
      <t xml:space="preserve">negativ Slopers </t>
    </r>
    <r>
      <rPr>
        <b/>
        <sz val="12"/>
        <color theme="1"/>
        <rFont val="Calibri"/>
        <family val="2"/>
      </rPr>
      <t>L</t>
    </r>
  </si>
  <si>
    <r>
      <t xml:space="preserve">negativ Slopers </t>
    </r>
    <r>
      <rPr>
        <b/>
        <sz val="12"/>
        <color theme="1"/>
        <rFont val="Calibri"/>
        <family val="2"/>
      </rPr>
      <t>XL</t>
    </r>
  </si>
  <si>
    <r>
      <t xml:space="preserve">Edges </t>
    </r>
    <r>
      <rPr>
        <b/>
        <sz val="12"/>
        <color theme="1"/>
        <rFont val="Calibri"/>
        <family val="2"/>
      </rPr>
      <t>XL</t>
    </r>
  </si>
  <si>
    <r>
      <t xml:space="preserve">Candles PU </t>
    </r>
    <r>
      <rPr>
        <b/>
        <sz val="12"/>
        <color theme="1"/>
        <rFont val="Calibri"/>
        <family val="2"/>
      </rPr>
      <t>Full Range</t>
    </r>
  </si>
  <si>
    <r>
      <t xml:space="preserve">Petals </t>
    </r>
    <r>
      <rPr>
        <b/>
        <sz val="12"/>
        <color theme="1"/>
        <rFont val="Calibri"/>
        <family val="2"/>
      </rPr>
      <t xml:space="preserve">Flat S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</si>
  <si>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Petals </t>
    </r>
    <r>
      <rPr>
        <b/>
        <sz val="12"/>
        <color theme="1"/>
        <rFont val="Calibri"/>
        <family val="2"/>
      </rPr>
      <t>Flat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</si>
  <si>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Petals </t>
    </r>
    <r>
      <rPr>
        <b/>
        <sz val="12"/>
        <color theme="1"/>
        <rFont val="Calibri"/>
        <family val="2"/>
      </rPr>
      <t>Flat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</si>
  <si>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Flat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</si>
  <si>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Flat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</si>
  <si>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Medium S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</si>
  <si>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Medium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</si>
  <si>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Medium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</si>
  <si>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Medium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</si>
  <si>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Medium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</si>
  <si>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Steep S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</si>
  <si>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Steep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</si>
  <si>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Steep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</si>
  <si>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 xml:space="preserve">Steep XL 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</si>
  <si>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Steep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</si>
  <si>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</si>
  <si>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Petals </t>
    </r>
    <r>
      <rPr>
        <b/>
        <sz val="12"/>
        <color theme="1"/>
        <rFont val="Calibri"/>
        <family val="2"/>
      </rPr>
      <t xml:space="preserve">Flat S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</si>
  <si>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Petals </t>
    </r>
    <r>
      <rPr>
        <b/>
        <sz val="12"/>
        <color theme="1"/>
        <rFont val="Calibri"/>
        <family val="2"/>
      </rPr>
      <t>Flat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</si>
  <si>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Petals </t>
    </r>
    <r>
      <rPr>
        <b/>
        <sz val="12"/>
        <color theme="1"/>
        <rFont val="Calibri"/>
        <family val="2"/>
      </rPr>
      <t>Flat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</si>
  <si>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Flat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</si>
  <si>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Flat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</si>
  <si>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Medium S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</si>
  <si>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Medium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FullTexture</t>
    </r>
  </si>
  <si>
    <r>
      <t xml:space="preserve">Petals </t>
    </r>
    <r>
      <rPr>
        <b/>
        <sz val="12"/>
        <color theme="1"/>
        <rFont val="Calibri"/>
        <family val="2"/>
      </rPr>
      <t xml:space="preserve">Medium L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</si>
  <si>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Medium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</si>
  <si>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Medium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</si>
  <si>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Steep S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</si>
  <si>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Steep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</si>
  <si>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Steep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</si>
  <si>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Steep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</si>
  <si>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Steep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</si>
  <si>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Petals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</si>
  <si>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Trios </t>
    </r>
    <r>
      <rPr>
        <b/>
        <sz val="12"/>
        <color theme="1"/>
        <rFont val="Calibri"/>
        <family val="2"/>
      </rPr>
      <t xml:space="preserve">Flat 3x XS 2x S 2x M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</si>
  <si>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</si>
  <si>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</si>
  <si>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</si>
  <si>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</si>
  <si>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Full SET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</si>
  <si>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3x XS 2x S 2x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</si>
  <si>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</si>
  <si>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</si>
  <si>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</si>
  <si>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</si>
  <si>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Medium FULL SET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</si>
  <si>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Steep 3x XS 2x S 2x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</si>
  <si>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 xml:space="preserve">Steep L 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</si>
  <si>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Steep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</si>
  <si>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Steep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</si>
  <si>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Steep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</si>
  <si>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Steep FULL SET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</si>
  <si>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COMPLETE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Tex.</t>
    </r>
  </si>
  <si>
    <r>
      <t xml:space="preserve">Trios </t>
    </r>
    <r>
      <rPr>
        <b/>
        <sz val="12"/>
        <color theme="1"/>
        <rFont val="Calibri"/>
        <family val="2"/>
      </rPr>
      <t>Flat 3x XS 2x S 2x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</si>
  <si>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Flat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</si>
  <si>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Flat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</si>
  <si>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Flat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</si>
  <si>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Flat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</si>
  <si>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Flat FULL SET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</si>
  <si>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3x XS 2x S 2x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</si>
  <si>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</si>
  <si>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</si>
  <si>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</si>
  <si>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</si>
  <si>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Medium FULL SET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</si>
  <si>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Steep 3x XS 2x S 2x M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</si>
  <si>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Steep 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</si>
  <si>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Steep 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</si>
  <si>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Steep 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</si>
  <si>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Steep XXXL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</si>
  <si>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 xml:space="preserve">Steep FULL SET </t>
    </r>
    <r>
      <rPr>
        <u/>
        <sz val="12"/>
        <color theme="1"/>
        <rFont val="Calibri"/>
        <family val="2"/>
      </rPr>
      <t>Full Tex.</t>
    </r>
  </si>
  <si>
    <r>
      <t xml:space="preserve">Trios </t>
    </r>
    <r>
      <rPr>
        <b/>
        <sz val="12"/>
        <color theme="1"/>
        <rFont val="Calibri"/>
        <family val="2"/>
      </rPr>
      <t>COMPLETE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Tex.</t>
    </r>
  </si>
  <si>
    <r>
      <t xml:space="preserve">Candles </t>
    </r>
    <r>
      <rPr>
        <b/>
        <sz val="12"/>
        <color theme="1"/>
        <rFont val="Calibri"/>
        <family val="2"/>
      </rPr>
      <t xml:space="preserve">1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</si>
  <si>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Candles </t>
    </r>
    <r>
      <rPr>
        <b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 xml:space="preserve">Dual Texture </t>
    </r>
  </si>
  <si>
    <r>
      <t xml:space="preserve">Candles </t>
    </r>
    <r>
      <rPr>
        <b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</si>
  <si>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Candles </t>
    </r>
    <r>
      <rPr>
        <b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</si>
  <si>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</si>
  <si>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</si>
  <si>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</si>
  <si>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</si>
  <si>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</si>
  <si>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</si>
  <si>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</si>
  <si>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</si>
  <si>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</si>
  <si>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</si>
  <si>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</si>
  <si>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</si>
  <si>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</si>
  <si>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</si>
  <si>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</si>
  <si>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</si>
  <si>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21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</si>
  <si>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22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</si>
  <si>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23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</si>
  <si>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</si>
  <si>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Candles </t>
    </r>
    <r>
      <rPr>
        <b/>
        <sz val="12"/>
        <color theme="1"/>
        <rFont val="Calibri"/>
        <family val="2"/>
      </rPr>
      <t xml:space="preserve">1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</si>
  <si>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Candles </t>
    </r>
    <r>
      <rPr>
        <b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 xml:space="preserve">Full Texture </t>
    </r>
  </si>
  <si>
    <r>
      <t xml:space="preserve">Candles </t>
    </r>
    <r>
      <rPr>
        <b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</si>
  <si>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Candles </t>
    </r>
    <r>
      <rPr>
        <b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</si>
  <si>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</si>
  <si>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</si>
  <si>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</si>
  <si>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</si>
  <si>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</si>
  <si>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</si>
  <si>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</si>
  <si>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</si>
  <si>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</si>
  <si>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</si>
  <si>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</si>
  <si>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</si>
  <si>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</si>
  <si>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</si>
  <si>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</si>
  <si>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</si>
  <si>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 xml:space="preserve">21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</si>
  <si>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22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</si>
  <si>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23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</si>
  <si>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</si>
  <si>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Candles </t>
    </r>
    <r>
      <rPr>
        <b/>
        <sz val="12"/>
        <color theme="1"/>
        <rFont val="Calibri"/>
        <family val="2"/>
      </rPr>
      <t xml:space="preserve">1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</si>
  <si>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</si>
  <si>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  <r>
      <rPr>
        <sz val="12"/>
        <color theme="1"/>
        <rFont val="Calibri"/>
        <family val="2"/>
      </rPr>
      <t xml:space="preserve"> </t>
    </r>
  </si>
  <si>
    <r>
      <t xml:space="preserve">Candles </t>
    </r>
    <r>
      <rPr>
        <b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</si>
  <si>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</si>
  <si>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</si>
  <si>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</si>
  <si>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</si>
  <si>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</si>
  <si>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</si>
  <si>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</si>
  <si>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</si>
  <si>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</si>
  <si>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</si>
  <si>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</si>
  <si>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</si>
  <si>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</si>
  <si>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</si>
  <si>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</si>
  <si>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</si>
  <si>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21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</si>
  <si>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22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</si>
  <si>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23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</si>
  <si>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Candles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No Texture</t>
    </r>
  </si>
  <si>
    <r>
      <t xml:space="preserve">Dreamers </t>
    </r>
    <r>
      <rPr>
        <b/>
        <sz val="12"/>
        <color theme="1"/>
        <rFont val="Calibri"/>
        <family val="2"/>
      </rPr>
      <t xml:space="preserve">1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</si>
  <si>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Dreamers </t>
    </r>
    <r>
      <rPr>
        <b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 xml:space="preserve">Dual Texture </t>
    </r>
  </si>
  <si>
    <r>
      <t xml:space="preserve">Dreamers </t>
    </r>
    <r>
      <rPr>
        <b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  <r>
      <rPr>
        <sz val="12"/>
        <color theme="1"/>
        <rFont val="Calibri"/>
        <family val="2"/>
      </rPr>
      <t xml:space="preserve"> </t>
    </r>
  </si>
  <si>
    <r>
      <t xml:space="preserve">Dreamers </t>
    </r>
    <r>
      <rPr>
        <b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</si>
  <si>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</si>
  <si>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</si>
  <si>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</si>
  <si>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</si>
  <si>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</si>
  <si>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</si>
  <si>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</si>
  <si>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</si>
  <si>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</si>
  <si>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</si>
  <si>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</si>
  <si>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</si>
  <si>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</si>
  <si>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</si>
  <si>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</si>
  <si>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</si>
  <si>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21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</si>
  <si>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22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</si>
  <si>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Dual Texture</t>
    </r>
  </si>
  <si>
    <r>
      <t xml:space="preserve">Dreamers </t>
    </r>
    <r>
      <rPr>
        <b/>
        <sz val="12"/>
        <color theme="1"/>
        <rFont val="Calibri"/>
        <family val="2"/>
      </rPr>
      <t xml:space="preserve">1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</si>
  <si>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Dreamers </t>
    </r>
    <r>
      <rPr>
        <b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 xml:space="preserve">Full Texture </t>
    </r>
  </si>
  <si>
    <r>
      <t xml:space="preserve">Dreamers </t>
    </r>
    <r>
      <rPr>
        <b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  <r>
      <rPr>
        <sz val="12"/>
        <color theme="1"/>
        <rFont val="Calibri"/>
        <family val="2"/>
      </rPr>
      <t xml:space="preserve"> </t>
    </r>
  </si>
  <si>
    <r>
      <t xml:space="preserve">Dreamers </t>
    </r>
    <r>
      <rPr>
        <b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</si>
  <si>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</si>
  <si>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</si>
  <si>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</si>
  <si>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</si>
  <si>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</si>
  <si>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</si>
  <si>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</si>
  <si>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</si>
  <si>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</si>
  <si>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14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</si>
  <si>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15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</si>
  <si>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</si>
  <si>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</si>
  <si>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</si>
  <si>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</si>
  <si>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</si>
  <si>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 xml:space="preserve">21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</si>
  <si>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22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</si>
  <si>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r>
      <t xml:space="preserve">Dreamers </t>
    </r>
    <r>
      <rPr>
        <b/>
        <sz val="12"/>
        <color theme="1"/>
        <rFont val="Calibri"/>
        <family val="2"/>
      </rPr>
      <t>Full Range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Full Texture</t>
    </r>
  </si>
  <si>
    <t>40 mm</t>
  </si>
  <si>
    <t>50 mm</t>
  </si>
  <si>
    <t>60 mm</t>
  </si>
  <si>
    <t>70 mm</t>
  </si>
  <si>
    <t>80 mm</t>
  </si>
  <si>
    <t>90 mm</t>
  </si>
  <si>
    <t>100 mm</t>
  </si>
  <si>
    <t>110 mm</t>
  </si>
  <si>
    <t>120 mm</t>
  </si>
  <si>
    <t>130 mm</t>
  </si>
  <si>
    <t>140 mm</t>
  </si>
  <si>
    <t>Screw length M10 (mm)</t>
  </si>
  <si>
    <r>
      <t xml:space="preserve">Orderform </t>
    </r>
    <r>
      <rPr>
        <b/>
        <sz val="18"/>
        <color theme="1"/>
        <rFont val="Calibri"/>
        <family val="2"/>
      </rPr>
      <t>updated 09/2026</t>
    </r>
  </si>
  <si>
    <t>Volumes</t>
  </si>
  <si>
    <t>CANDLES  PE</t>
  </si>
  <si>
    <t>COASTS  PE</t>
  </si>
  <si>
    <r>
      <rPr>
        <b/>
        <sz val="28"/>
        <color theme="0"/>
        <rFont val="Calibri"/>
        <family val="2"/>
      </rPr>
      <t>CURVES</t>
    </r>
    <r>
      <rPr>
        <b/>
        <sz val="28"/>
        <color theme="1"/>
        <rFont val="Calibri"/>
        <family val="2"/>
      </rPr>
      <t xml:space="preserve">  </t>
    </r>
    <r>
      <rPr>
        <b/>
        <sz val="28"/>
        <color theme="0"/>
        <rFont val="Calibri"/>
        <family val="2"/>
      </rPr>
      <t>PE</t>
    </r>
  </si>
  <si>
    <r>
      <t xml:space="preserve">ECHOES  PE </t>
    </r>
    <r>
      <rPr>
        <b/>
        <sz val="18"/>
        <color theme="2"/>
        <rFont val="Calibri"/>
        <family val="2"/>
      </rPr>
      <t>Dual-Texture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</si>
</sst>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&quot; kg&quot;"/>
  </numFmts>
  <fonts count="5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36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6"/>
      <color theme="1"/>
      <name val="Calibri"/>
      <family val="2"/>
    </font>
    <font>
      <sz val="8"/>
      <color theme="1"/>
      <name val="Calibri"/>
      <family val="2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28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28"/>
      <color theme="0"/>
      <name val="Calibri"/>
      <family val="2"/>
    </font>
    <font>
      <b/>
      <sz val="8"/>
      <color theme="1"/>
      <name val="Calibri"/>
      <family val="2"/>
    </font>
    <font>
      <b/>
      <sz val="26"/>
      <color theme="1"/>
      <name val="Calibri"/>
      <family val="2"/>
    </font>
    <font>
      <sz val="14"/>
      <color theme="1"/>
      <name val="Calibri"/>
      <family val="2"/>
    </font>
    <font>
      <sz val="11"/>
      <color rgb="FFFF0000"/>
      <name val="Calibri"/>
      <family val="2"/>
    </font>
    <font>
      <sz val="32"/>
      <name val="Calibri"/>
      <family val="2"/>
    </font>
    <font>
      <b/>
      <sz val="18"/>
      <color theme="1"/>
      <name val="Calibri"/>
      <family val="2"/>
    </font>
    <font>
      <b/>
      <sz val="36"/>
      <color theme="4" tint="0.39997558519241921"/>
      <name val="Calibri"/>
      <family val="2"/>
    </font>
    <font>
      <sz val="11"/>
      <color theme="4" tint="0.39997558519241921"/>
      <name val="Calibri"/>
      <family val="2"/>
    </font>
    <font>
      <sz val="11"/>
      <color theme="4" tint="0.39997558519241921"/>
      <name val="Calibri"/>
      <family val="2"/>
      <scheme val="minor"/>
    </font>
    <font>
      <b/>
      <sz val="16"/>
      <color theme="1"/>
      <name val="Calibri"/>
      <family val="2"/>
    </font>
    <font>
      <b/>
      <sz val="30"/>
      <color theme="1"/>
      <name val="Calibri"/>
      <family val="2"/>
    </font>
    <font>
      <sz val="3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12"/>
      <color theme="0"/>
      <name val="Calibri"/>
      <family val="2"/>
    </font>
    <font>
      <sz val="12"/>
      <color theme="1"/>
      <name val="Calibri"/>
      <family val="2"/>
    </font>
    <font>
      <sz val="14"/>
      <color theme="0"/>
      <name val="Calibri"/>
      <family val="2"/>
    </font>
    <font>
      <b/>
      <sz val="18"/>
      <color theme="1"/>
      <name val="Calibri"/>
      <family val="2"/>
      <scheme val="minor"/>
    </font>
    <font>
      <b/>
      <sz val="18"/>
      <name val="Calibri"/>
      <family val="2"/>
    </font>
    <font>
      <b/>
      <sz val="8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28"/>
      <color theme="2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6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8"/>
      <name val="Calibri"/>
      <family val="2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</font>
    <font>
      <b/>
      <sz val="18"/>
      <color theme="2"/>
      <name val="Calibri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  <fill>
      <patternFill patternType="solid">
        <fgColor rgb="FFFF0000"/>
        <bgColor rgb="FFFF0000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996633"/>
        <bgColor rgb="FF996633"/>
      </patternFill>
    </fill>
    <fill>
      <patternFill patternType="solid">
        <fgColor rgb="FF7030A0"/>
        <bgColor rgb="FF7030A0"/>
      </patternFill>
    </fill>
    <fill>
      <patternFill patternType="solid">
        <fgColor rgb="FFCC00CC"/>
        <bgColor rgb="FFCC00CC"/>
      </patternFill>
    </fill>
    <fill>
      <patternFill patternType="solid">
        <fgColor rgb="FF33CCCC"/>
        <bgColor rgb="FF33CCCC"/>
      </patternFill>
    </fill>
    <fill>
      <patternFill patternType="solid">
        <fgColor rgb="FF757070"/>
        <bgColor rgb="FF757070"/>
      </patternFill>
    </fill>
    <fill>
      <patternFill patternType="solid">
        <fgColor rgb="FFFF00FF"/>
        <bgColor rgb="FFFF00FF"/>
      </patternFill>
    </fill>
    <fill>
      <patternFill patternType="solid">
        <fgColor rgb="FFFFCC00"/>
        <bgColor rgb="FFFFCC00"/>
      </patternFill>
    </fill>
    <fill>
      <patternFill patternType="solid">
        <fgColor rgb="FF00FF00"/>
        <bgColor rgb="FF00FF00"/>
      </patternFill>
    </fill>
    <fill>
      <patternFill patternType="solid">
        <fgColor rgb="FF262626"/>
        <bgColor rgb="FF262626"/>
      </patternFill>
    </fill>
    <fill>
      <patternFill patternType="solid">
        <fgColor rgb="FFBFBFBF"/>
        <bgColor rgb="FFBFBFBF"/>
      </patternFill>
    </fill>
    <fill>
      <patternFill patternType="solid">
        <fgColor rgb="FF9999FF"/>
        <bgColor rgb="FF9999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1" tint="0.34998626667073579"/>
        <bgColor rgb="FF8EAADB"/>
      </patternFill>
    </fill>
    <fill>
      <patternFill patternType="solid">
        <fgColor theme="1" tint="0.14999847407452621"/>
        <bgColor rgb="FF7F7F7F"/>
      </patternFill>
    </fill>
    <fill>
      <patternFill patternType="solid">
        <fgColor rgb="FFFF0000"/>
        <bgColor rgb="FF92D050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rgb="FFFF33CC"/>
        <bgColor rgb="FF8EAADB"/>
      </patternFill>
    </fill>
    <fill>
      <patternFill patternType="solid">
        <fgColor rgb="FFFF33CC"/>
        <bgColor rgb="FF33CCCC"/>
      </patternFill>
    </fill>
    <fill>
      <patternFill patternType="solid">
        <fgColor rgb="FF92D050"/>
        <bgColor rgb="FFCC00CC"/>
      </patternFill>
    </fill>
    <fill>
      <patternFill patternType="solid">
        <fgColor theme="4" tint="0.39997558519241921"/>
        <bgColor rgb="FFFFFF00"/>
      </patternFill>
    </fill>
    <fill>
      <patternFill patternType="solid">
        <fgColor rgb="FFFF33CC"/>
        <bgColor rgb="FF9999F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rgb="FF7F7F7F"/>
      </patternFill>
    </fill>
    <fill>
      <patternFill patternType="solid">
        <fgColor theme="0"/>
        <bgColor rgb="FF8EAADB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CC00CC"/>
      </patternFill>
    </fill>
    <fill>
      <patternFill patternType="solid">
        <fgColor theme="0"/>
        <bgColor rgb="FF33CCCC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/>
        <bgColor rgb="FF996633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rgb="FF757070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00FF00"/>
      </patternFill>
    </fill>
    <fill>
      <patternFill patternType="solid">
        <fgColor theme="1"/>
        <bgColor rgb="FF996633"/>
      </patternFill>
    </fill>
    <fill>
      <patternFill patternType="solid">
        <fgColor theme="1"/>
        <bgColor rgb="FF7030A0"/>
      </patternFill>
    </fill>
    <fill>
      <patternFill patternType="solid">
        <fgColor theme="1"/>
        <bgColor rgb="FFCC00CC"/>
      </patternFill>
    </fill>
    <fill>
      <patternFill patternType="solid">
        <fgColor theme="1"/>
        <bgColor rgb="FFD0CECE"/>
      </patternFill>
    </fill>
    <fill>
      <patternFill patternType="solid">
        <fgColor theme="1"/>
        <bgColor rgb="FF757070"/>
      </patternFill>
    </fill>
    <fill>
      <patternFill patternType="solid">
        <fgColor theme="1"/>
        <bgColor rgb="FFFF00FF"/>
      </patternFill>
    </fill>
    <fill>
      <patternFill patternType="solid">
        <fgColor theme="1"/>
        <bgColor rgb="FFFFCC00"/>
      </patternFill>
    </fill>
    <fill>
      <patternFill patternType="solid">
        <fgColor theme="1"/>
        <bgColor rgb="FF00FF00"/>
      </patternFill>
    </fill>
    <fill>
      <patternFill patternType="solid">
        <fgColor theme="1"/>
        <bgColor rgb="FFFFFF00"/>
      </patternFill>
    </fill>
    <fill>
      <patternFill patternType="solid">
        <fgColor theme="0" tint="-0.14999847407452621"/>
        <bgColor rgb="FFD0CECE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33CCCC"/>
        <bgColor rgb="FFFFC000"/>
      </patternFill>
    </fill>
    <fill>
      <patternFill patternType="solid">
        <fgColor theme="1"/>
        <bgColor rgb="FF33CCCC"/>
      </patternFill>
    </fill>
    <fill>
      <patternFill patternType="solid">
        <fgColor theme="1"/>
        <bgColor indexed="64"/>
      </patternFill>
    </fill>
    <fill>
      <patternFill patternType="solid">
        <fgColor theme="3" tint="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7F7F7F"/>
      </patternFill>
    </fill>
    <fill>
      <patternFill patternType="solid">
        <fgColor theme="2"/>
        <bgColor rgb="FF8EAADB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rgb="FF92D050"/>
      </patternFill>
    </fill>
    <fill>
      <patternFill patternType="solid">
        <fgColor theme="2"/>
        <bgColor rgb="FFFFC000"/>
      </patternFill>
    </fill>
    <fill>
      <patternFill patternType="solid">
        <fgColor theme="2"/>
        <bgColor rgb="FF996633"/>
      </patternFill>
    </fill>
    <fill>
      <patternFill patternType="solid">
        <fgColor theme="2"/>
        <bgColor rgb="FF7030A0"/>
      </patternFill>
    </fill>
    <fill>
      <patternFill patternType="solid">
        <fgColor theme="2"/>
        <bgColor rgb="FFCC00CC"/>
      </patternFill>
    </fill>
    <fill>
      <patternFill patternType="solid">
        <fgColor theme="2"/>
        <bgColor rgb="FF33CCCC"/>
      </patternFill>
    </fill>
    <fill>
      <patternFill patternType="solid">
        <fgColor theme="2"/>
        <bgColor rgb="FFD0CECE"/>
      </patternFill>
    </fill>
    <fill>
      <patternFill patternType="solid">
        <fgColor theme="2"/>
        <bgColor rgb="FF757070"/>
      </patternFill>
    </fill>
    <fill>
      <patternFill patternType="solid">
        <fgColor theme="2"/>
        <bgColor rgb="FFFF00FF"/>
      </patternFill>
    </fill>
    <fill>
      <patternFill patternType="solid">
        <fgColor theme="2"/>
        <bgColor rgb="FFFFCC00"/>
      </patternFill>
    </fill>
    <fill>
      <patternFill patternType="solid">
        <fgColor theme="2"/>
        <bgColor rgb="FF00FF00"/>
      </patternFill>
    </fill>
  </fills>
  <borders count="26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thin">
        <color rgb="FF000000"/>
      </bottom>
      <diagonal/>
    </border>
    <border>
      <left/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ck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rgb="FF000000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1073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textRotation="90"/>
    </xf>
    <xf numFmtId="0" fontId="11" fillId="6" borderId="35" xfId="0" applyFont="1" applyFill="1" applyBorder="1" applyAlignment="1">
      <alignment horizontal="center" vertical="center" textRotation="90"/>
    </xf>
    <xf numFmtId="0" fontId="11" fillId="5" borderId="35" xfId="0" applyFont="1" applyFill="1" applyBorder="1" applyAlignment="1">
      <alignment horizontal="center" vertical="center" textRotation="90"/>
    </xf>
    <xf numFmtId="0" fontId="11" fillId="7" borderId="35" xfId="0" applyFont="1" applyFill="1" applyBorder="1" applyAlignment="1">
      <alignment horizontal="center" vertical="center" textRotation="90"/>
    </xf>
    <xf numFmtId="0" fontId="11" fillId="8" borderId="35" xfId="0" applyFont="1" applyFill="1" applyBorder="1" applyAlignment="1">
      <alignment horizontal="center" vertical="center" textRotation="90"/>
    </xf>
    <xf numFmtId="0" fontId="11" fillId="9" borderId="35" xfId="0" applyFont="1" applyFill="1" applyBorder="1" applyAlignment="1">
      <alignment horizontal="center" vertical="center" textRotation="90"/>
    </xf>
    <xf numFmtId="0" fontId="11" fillId="10" borderId="35" xfId="0" applyFont="1" applyFill="1" applyBorder="1" applyAlignment="1">
      <alignment horizontal="center" vertical="center" textRotation="90"/>
    </xf>
    <xf numFmtId="0" fontId="11" fillId="11" borderId="35" xfId="0" applyFont="1" applyFill="1" applyBorder="1" applyAlignment="1">
      <alignment horizontal="center" vertical="center" textRotation="90"/>
    </xf>
    <xf numFmtId="0" fontId="11" fillId="12" borderId="35" xfId="0" applyFont="1" applyFill="1" applyBorder="1" applyAlignment="1">
      <alignment horizontal="center" vertical="center" textRotation="90"/>
    </xf>
    <xf numFmtId="0" fontId="11" fillId="13" borderId="35" xfId="0" applyFont="1" applyFill="1" applyBorder="1" applyAlignment="1">
      <alignment horizontal="center" vertical="center" textRotation="90"/>
    </xf>
    <xf numFmtId="0" fontId="11" fillId="4" borderId="35" xfId="0" applyFont="1" applyFill="1" applyBorder="1" applyAlignment="1">
      <alignment horizontal="center" vertical="center" textRotation="90"/>
    </xf>
    <xf numFmtId="0" fontId="2" fillId="15" borderId="36" xfId="0" applyFont="1" applyFill="1" applyBorder="1" applyAlignment="1">
      <alignment horizontal="center" vertical="center" textRotation="90"/>
    </xf>
    <xf numFmtId="0" fontId="2" fillId="16" borderId="35" xfId="0" applyFont="1" applyFill="1" applyBorder="1" applyAlignment="1">
      <alignment horizontal="center" vertical="center" textRotation="90"/>
    </xf>
    <xf numFmtId="0" fontId="2" fillId="17" borderId="35" xfId="0" applyFont="1" applyFill="1" applyBorder="1" applyAlignment="1">
      <alignment horizontal="center" vertical="center" textRotation="90"/>
    </xf>
    <xf numFmtId="0" fontId="2" fillId="7" borderId="37" xfId="0" applyFont="1" applyFill="1" applyBorder="1" applyAlignment="1">
      <alignment horizontal="center" vertical="center" textRotation="90"/>
    </xf>
    <xf numFmtId="0" fontId="5" fillId="0" borderId="38" xfId="0" applyFont="1" applyBorder="1" applyAlignment="1">
      <alignment horizontal="center" vertical="center" wrapText="1"/>
    </xf>
    <xf numFmtId="0" fontId="14" fillId="18" borderId="1" xfId="0" applyFont="1" applyFill="1" applyBorder="1"/>
    <xf numFmtId="0" fontId="14" fillId="18" borderId="73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1" fillId="0" borderId="24" xfId="0" applyFont="1" applyBorder="1" applyAlignment="1">
      <alignment horizontal="center" vertical="center" textRotation="90"/>
    </xf>
    <xf numFmtId="0" fontId="11" fillId="6" borderId="15" xfId="0" applyFont="1" applyFill="1" applyBorder="1" applyAlignment="1">
      <alignment horizontal="center" vertical="center" textRotation="90"/>
    </xf>
    <xf numFmtId="0" fontId="11" fillId="5" borderId="15" xfId="0" applyFont="1" applyFill="1" applyBorder="1" applyAlignment="1">
      <alignment horizontal="center" vertical="center" textRotation="90"/>
    </xf>
    <xf numFmtId="0" fontId="11" fillId="7" borderId="15" xfId="0" applyFont="1" applyFill="1" applyBorder="1" applyAlignment="1">
      <alignment horizontal="center" vertical="center" textRotation="90"/>
    </xf>
    <xf numFmtId="0" fontId="11" fillId="8" borderId="15" xfId="0" applyFont="1" applyFill="1" applyBorder="1" applyAlignment="1">
      <alignment horizontal="center" vertical="center" textRotation="90"/>
    </xf>
    <xf numFmtId="0" fontId="11" fillId="9" borderId="15" xfId="0" applyFont="1" applyFill="1" applyBorder="1" applyAlignment="1">
      <alignment horizontal="center" vertical="center" textRotation="90"/>
    </xf>
    <xf numFmtId="0" fontId="11" fillId="10" borderId="15" xfId="0" applyFont="1" applyFill="1" applyBorder="1" applyAlignment="1">
      <alignment horizontal="center" vertical="center" textRotation="90"/>
    </xf>
    <xf numFmtId="0" fontId="11" fillId="11" borderId="15" xfId="0" applyFont="1" applyFill="1" applyBorder="1" applyAlignment="1">
      <alignment horizontal="center" vertical="center" textRotation="90"/>
    </xf>
    <xf numFmtId="0" fontId="11" fillId="12" borderId="15" xfId="0" applyFont="1" applyFill="1" applyBorder="1" applyAlignment="1">
      <alignment horizontal="center" vertical="center" textRotation="90"/>
    </xf>
    <xf numFmtId="0" fontId="11" fillId="13" borderId="15" xfId="0" applyFont="1" applyFill="1" applyBorder="1" applyAlignment="1">
      <alignment horizontal="center" vertical="center" textRotation="90"/>
    </xf>
    <xf numFmtId="0" fontId="11" fillId="4" borderId="15" xfId="0" applyFont="1" applyFill="1" applyBorder="1" applyAlignment="1">
      <alignment horizontal="center" vertical="center" textRotation="90"/>
    </xf>
    <xf numFmtId="0" fontId="11" fillId="15" borderId="92" xfId="0" applyFont="1" applyFill="1" applyBorder="1" applyAlignment="1">
      <alignment horizontal="center" vertical="center" textRotation="90"/>
    </xf>
    <xf numFmtId="0" fontId="11" fillId="16" borderId="93" xfId="0" applyFont="1" applyFill="1" applyBorder="1" applyAlignment="1">
      <alignment horizontal="center" vertical="center" textRotation="90"/>
    </xf>
    <xf numFmtId="0" fontId="11" fillId="17" borderId="93" xfId="0" applyFont="1" applyFill="1" applyBorder="1" applyAlignment="1">
      <alignment horizontal="center" vertical="center" textRotation="90"/>
    </xf>
    <xf numFmtId="0" fontId="11" fillId="7" borderId="94" xfId="0" applyFont="1" applyFill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2" fillId="2" borderId="97" xfId="0" applyFont="1" applyFill="1" applyBorder="1" applyAlignment="1">
      <alignment vertical="center"/>
    </xf>
    <xf numFmtId="0" fontId="5" fillId="2" borderId="97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 wrapText="1"/>
    </xf>
    <xf numFmtId="0" fontId="11" fillId="20" borderId="15" xfId="0" applyFont="1" applyFill="1" applyBorder="1" applyAlignment="1">
      <alignment horizontal="center" vertical="center" textRotation="90"/>
    </xf>
    <xf numFmtId="0" fontId="11" fillId="19" borderId="105" xfId="0" applyFont="1" applyFill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/>
    <xf numFmtId="0" fontId="2" fillId="0" borderId="97" xfId="0" applyFont="1" applyBorder="1"/>
    <xf numFmtId="0" fontId="4" fillId="23" borderId="23" xfId="0" applyFont="1" applyFill="1" applyBorder="1"/>
    <xf numFmtId="14" fontId="5" fillId="22" borderId="23" xfId="0" applyNumberFormat="1" applyFont="1" applyFill="1" applyBorder="1" applyAlignment="1">
      <alignment horizontal="center"/>
    </xf>
    <xf numFmtId="0" fontId="2" fillId="0" borderId="23" xfId="0" applyFont="1" applyBorder="1"/>
    <xf numFmtId="0" fontId="0" fillId="0" borderId="23" xfId="0" applyBorder="1"/>
    <xf numFmtId="0" fontId="11" fillId="4" borderId="111" xfId="0" applyFont="1" applyFill="1" applyBorder="1" applyAlignment="1">
      <alignment horizontal="center" vertical="center" textRotation="90"/>
    </xf>
    <xf numFmtId="0" fontId="30" fillId="26" borderId="35" xfId="0" applyFont="1" applyFill="1" applyBorder="1" applyAlignment="1">
      <alignment horizontal="center" vertical="center" textRotation="90"/>
    </xf>
    <xf numFmtId="0" fontId="30" fillId="25" borderId="35" xfId="0" applyFont="1" applyFill="1" applyBorder="1" applyAlignment="1">
      <alignment horizontal="center" vertical="center" textRotation="90"/>
    </xf>
    <xf numFmtId="0" fontId="31" fillId="6" borderId="35" xfId="0" applyFont="1" applyFill="1" applyBorder="1" applyAlignment="1">
      <alignment horizontal="center" vertical="center" textRotation="90"/>
    </xf>
    <xf numFmtId="0" fontId="31" fillId="29" borderId="119" xfId="0" applyFont="1" applyFill="1" applyBorder="1" applyAlignment="1">
      <alignment horizontal="center" vertical="center" textRotation="90" wrapText="1"/>
    </xf>
    <xf numFmtId="0" fontId="31" fillId="0" borderId="24" xfId="0" applyFont="1" applyBorder="1" applyAlignment="1">
      <alignment horizontal="center" vertical="center" textRotation="90"/>
    </xf>
    <xf numFmtId="0" fontId="30" fillId="26" borderId="15" xfId="0" applyFont="1" applyFill="1" applyBorder="1" applyAlignment="1">
      <alignment horizontal="center" vertical="center" textRotation="90"/>
    </xf>
    <xf numFmtId="0" fontId="30" fillId="25" borderId="15" xfId="0" applyFont="1" applyFill="1" applyBorder="1" applyAlignment="1">
      <alignment horizontal="center" vertical="center" textRotation="90"/>
    </xf>
    <xf numFmtId="0" fontId="31" fillId="28" borderId="15" xfId="0" applyFont="1" applyFill="1" applyBorder="1" applyAlignment="1">
      <alignment horizontal="center" vertical="center" textRotation="90"/>
    </xf>
    <xf numFmtId="0" fontId="31" fillId="32" borderId="15" xfId="0" applyFont="1" applyFill="1" applyBorder="1" applyAlignment="1">
      <alignment horizontal="center" vertical="center" textRotation="90"/>
    </xf>
    <xf numFmtId="0" fontId="31" fillId="27" borderId="15" xfId="0" applyFont="1" applyFill="1" applyBorder="1" applyAlignment="1">
      <alignment horizontal="center" vertical="center" textRotation="90"/>
    </xf>
    <xf numFmtId="0" fontId="31" fillId="9" borderId="15" xfId="0" applyFont="1" applyFill="1" applyBorder="1" applyAlignment="1">
      <alignment horizontal="center" vertical="center" textRotation="90"/>
    </xf>
    <xf numFmtId="0" fontId="31" fillId="31" borderId="15" xfId="0" applyFont="1" applyFill="1" applyBorder="1" applyAlignment="1">
      <alignment horizontal="center" vertical="center" textRotation="90"/>
    </xf>
    <xf numFmtId="0" fontId="4" fillId="0" borderId="120" xfId="0" applyFont="1" applyBorder="1"/>
    <xf numFmtId="0" fontId="21" fillId="0" borderId="9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18" fillId="0" borderId="133" xfId="0" applyFont="1" applyBorder="1" applyAlignment="1">
      <alignment horizontal="center"/>
    </xf>
    <xf numFmtId="0" fontId="13" fillId="0" borderId="133" xfId="0" applyFont="1" applyBorder="1" applyAlignment="1">
      <alignment horizontal="center"/>
    </xf>
    <xf numFmtId="164" fontId="13" fillId="0" borderId="133" xfId="0" applyNumberFormat="1" applyFont="1" applyBorder="1" applyAlignment="1">
      <alignment horizontal="center"/>
    </xf>
    <xf numFmtId="0" fontId="13" fillId="23" borderId="133" xfId="0" applyFont="1" applyFill="1" applyBorder="1" applyAlignment="1" applyProtection="1">
      <alignment horizontal="center"/>
      <protection locked="0"/>
    </xf>
    <xf numFmtId="0" fontId="32" fillId="35" borderId="133" xfId="0" applyFont="1" applyFill="1" applyBorder="1" applyAlignment="1" applyProtection="1">
      <alignment horizontal="center"/>
      <protection locked="0"/>
    </xf>
    <xf numFmtId="0" fontId="32" fillId="36" borderId="133" xfId="0" applyFont="1" applyFill="1" applyBorder="1" applyAlignment="1" applyProtection="1">
      <alignment horizontal="center"/>
      <protection locked="0"/>
    </xf>
    <xf numFmtId="0" fontId="13" fillId="37" borderId="133" xfId="0" applyFont="1" applyFill="1" applyBorder="1" applyAlignment="1" applyProtection="1">
      <alignment horizontal="center"/>
      <protection locked="0"/>
    </xf>
    <xf numFmtId="0" fontId="13" fillId="38" borderId="133" xfId="0" applyFont="1" applyFill="1" applyBorder="1" applyAlignment="1" applyProtection="1">
      <alignment horizontal="center"/>
      <protection locked="0"/>
    </xf>
    <xf numFmtId="0" fontId="13" fillId="39" borderId="133" xfId="0" applyFont="1" applyFill="1" applyBorder="1" applyAlignment="1" applyProtection="1">
      <alignment horizontal="center"/>
      <protection locked="0"/>
    </xf>
    <xf numFmtId="0" fontId="13" fillId="40" borderId="133" xfId="0" applyFont="1" applyFill="1" applyBorder="1" applyAlignment="1" applyProtection="1">
      <alignment horizontal="center"/>
      <protection locked="0"/>
    </xf>
    <xf numFmtId="0" fontId="13" fillId="41" borderId="133" xfId="0" applyFont="1" applyFill="1" applyBorder="1" applyAlignment="1" applyProtection="1">
      <alignment horizontal="center"/>
      <protection locked="0"/>
    </xf>
    <xf numFmtId="0" fontId="13" fillId="42" borderId="133" xfId="0" applyFont="1" applyFill="1" applyBorder="1" applyAlignment="1" applyProtection="1">
      <alignment horizontal="center"/>
      <protection locked="0"/>
    </xf>
    <xf numFmtId="0" fontId="14" fillId="0" borderId="133" xfId="0" applyFont="1" applyBorder="1" applyAlignment="1">
      <alignment horizontal="center"/>
    </xf>
    <xf numFmtId="0" fontId="35" fillId="0" borderId="0" xfId="0" applyFont="1" applyAlignment="1">
      <alignment horizontal="right" vertical="top"/>
    </xf>
    <xf numFmtId="164" fontId="21" fillId="5" borderId="23" xfId="0" applyNumberFormat="1" applyFont="1" applyFill="1" applyBorder="1" applyAlignment="1">
      <alignment vertical="center"/>
    </xf>
    <xf numFmtId="0" fontId="30" fillId="14" borderId="91" xfId="0" applyFont="1" applyFill="1" applyBorder="1" applyAlignment="1">
      <alignment horizontal="center" vertical="center" textRotation="90"/>
    </xf>
    <xf numFmtId="0" fontId="30" fillId="14" borderId="35" xfId="0" applyFont="1" applyFill="1" applyBorder="1" applyAlignment="1">
      <alignment horizontal="center" vertical="center" textRotation="90"/>
    </xf>
    <xf numFmtId="0" fontId="5" fillId="0" borderId="59" xfId="0" applyFont="1" applyBorder="1" applyAlignment="1">
      <alignment horizontal="center" vertical="center"/>
    </xf>
    <xf numFmtId="0" fontId="19" fillId="0" borderId="183" xfId="0" applyFont="1" applyBorder="1" applyAlignment="1">
      <alignment horizontal="center"/>
    </xf>
    <xf numFmtId="0" fontId="31" fillId="8" borderId="35" xfId="0" applyFont="1" applyFill="1" applyBorder="1" applyAlignment="1">
      <alignment horizontal="center" vertical="center" textRotation="90"/>
    </xf>
    <xf numFmtId="164" fontId="14" fillId="0" borderId="133" xfId="0" applyNumberFormat="1" applyFont="1" applyBorder="1" applyAlignment="1">
      <alignment horizontal="center"/>
    </xf>
    <xf numFmtId="0" fontId="13" fillId="0" borderId="186" xfId="0" applyFont="1" applyBorder="1" applyAlignment="1">
      <alignment horizontal="center"/>
    </xf>
    <xf numFmtId="0" fontId="18" fillId="0" borderId="187" xfId="0" applyFont="1" applyBorder="1" applyAlignment="1">
      <alignment horizontal="center"/>
    </xf>
    <xf numFmtId="0" fontId="19" fillId="0" borderId="188" xfId="0" applyFont="1" applyBorder="1" applyAlignment="1">
      <alignment horizontal="center"/>
    </xf>
    <xf numFmtId="0" fontId="13" fillId="0" borderId="189" xfId="0" applyFont="1" applyBorder="1" applyAlignment="1">
      <alignment horizontal="center"/>
    </xf>
    <xf numFmtId="164" fontId="13" fillId="0" borderId="187" xfId="0" applyNumberFormat="1" applyFont="1" applyBorder="1" applyAlignment="1">
      <alignment horizontal="center"/>
    </xf>
    <xf numFmtId="0" fontId="13" fillId="36" borderId="133" xfId="0" applyFont="1" applyFill="1" applyBorder="1" applyAlignment="1" applyProtection="1">
      <alignment horizontal="center"/>
      <protection locked="0"/>
    </xf>
    <xf numFmtId="0" fontId="13" fillId="22" borderId="133" xfId="0" applyFont="1" applyFill="1" applyBorder="1" applyAlignment="1" applyProtection="1">
      <alignment horizontal="center"/>
      <protection locked="0"/>
    </xf>
    <xf numFmtId="0" fontId="18" fillId="24" borderId="133" xfId="0" applyFont="1" applyFill="1" applyBorder="1" applyAlignment="1">
      <alignment horizontal="center"/>
    </xf>
    <xf numFmtId="0" fontId="19" fillId="23" borderId="133" xfId="0" applyFont="1" applyFill="1" applyBorder="1" applyAlignment="1">
      <alignment horizontal="center"/>
    </xf>
    <xf numFmtId="0" fontId="13" fillId="24" borderId="133" xfId="0" applyFont="1" applyFill="1" applyBorder="1" applyAlignment="1">
      <alignment horizontal="center"/>
    </xf>
    <xf numFmtId="164" fontId="13" fillId="24" borderId="133" xfId="0" applyNumberFormat="1" applyFont="1" applyFill="1" applyBorder="1" applyAlignment="1">
      <alignment horizontal="center"/>
    </xf>
    <xf numFmtId="0" fontId="14" fillId="23" borderId="133" xfId="0" applyFont="1" applyFill="1" applyBorder="1" applyAlignment="1">
      <alignment horizontal="center"/>
    </xf>
    <xf numFmtId="164" fontId="14" fillId="23" borderId="133" xfId="0" applyNumberFormat="1" applyFont="1" applyFill="1" applyBorder="1" applyAlignment="1">
      <alignment horizontal="center"/>
    </xf>
    <xf numFmtId="0" fontId="11" fillId="0" borderId="190" xfId="0" applyFont="1" applyBorder="1" applyAlignment="1">
      <alignment horizontal="center" vertical="center" textRotation="90"/>
    </xf>
    <xf numFmtId="0" fontId="11" fillId="33" borderId="105" xfId="0" applyFont="1" applyFill="1" applyBorder="1" applyAlignment="1">
      <alignment horizontal="center" vertical="center" textRotation="90"/>
    </xf>
    <xf numFmtId="0" fontId="13" fillId="23" borderId="188" xfId="0" applyFont="1" applyFill="1" applyBorder="1" applyAlignment="1">
      <alignment horizontal="center"/>
    </xf>
    <xf numFmtId="0" fontId="19" fillId="23" borderId="188" xfId="0" applyFont="1" applyFill="1" applyBorder="1" applyAlignment="1">
      <alignment horizontal="center"/>
    </xf>
    <xf numFmtId="164" fontId="13" fillId="23" borderId="188" xfId="0" applyNumberFormat="1" applyFont="1" applyFill="1" applyBorder="1" applyAlignment="1">
      <alignment horizontal="center"/>
    </xf>
    <xf numFmtId="0" fontId="13" fillId="23" borderId="188" xfId="0" applyFont="1" applyFill="1" applyBorder="1" applyAlignment="1" applyProtection="1">
      <alignment horizontal="center"/>
      <protection locked="0"/>
    </xf>
    <xf numFmtId="0" fontId="32" fillId="35" borderId="188" xfId="0" applyFont="1" applyFill="1" applyBorder="1" applyAlignment="1" applyProtection="1">
      <alignment horizontal="center"/>
      <protection locked="0"/>
    </xf>
    <xf numFmtId="0" fontId="13" fillId="36" borderId="188" xfId="0" applyFont="1" applyFill="1" applyBorder="1" applyAlignment="1" applyProtection="1">
      <alignment horizontal="center"/>
      <protection locked="0"/>
    </xf>
    <xf numFmtId="0" fontId="13" fillId="37" borderId="188" xfId="0" applyFont="1" applyFill="1" applyBorder="1" applyAlignment="1" applyProtection="1">
      <alignment horizontal="center"/>
      <protection locked="0"/>
    </xf>
    <xf numFmtId="0" fontId="13" fillId="38" borderId="188" xfId="0" applyFont="1" applyFill="1" applyBorder="1" applyAlignment="1" applyProtection="1">
      <alignment horizontal="center"/>
      <protection locked="0"/>
    </xf>
    <xf numFmtId="0" fontId="13" fillId="39" borderId="188" xfId="0" applyFont="1" applyFill="1" applyBorder="1" applyAlignment="1" applyProtection="1">
      <alignment horizontal="center"/>
      <protection locked="0"/>
    </xf>
    <xf numFmtId="0" fontId="13" fillId="40" borderId="188" xfId="0" applyFont="1" applyFill="1" applyBorder="1" applyAlignment="1" applyProtection="1">
      <alignment horizontal="center"/>
      <protection locked="0"/>
    </xf>
    <xf numFmtId="0" fontId="13" fillId="47" borderId="188" xfId="0" applyFont="1" applyFill="1" applyBorder="1" applyAlignment="1" applyProtection="1">
      <alignment horizontal="center"/>
      <protection locked="0"/>
    </xf>
    <xf numFmtId="0" fontId="13" fillId="48" borderId="188" xfId="0" applyFont="1" applyFill="1" applyBorder="1" applyAlignment="1" applyProtection="1">
      <alignment horizontal="center"/>
      <protection locked="0"/>
    </xf>
    <xf numFmtId="0" fontId="13" fillId="41" borderId="188" xfId="0" applyFont="1" applyFill="1" applyBorder="1" applyAlignment="1" applyProtection="1">
      <alignment horizontal="center"/>
      <protection locked="0"/>
    </xf>
    <xf numFmtId="0" fontId="13" fillId="42" borderId="188" xfId="0" applyFont="1" applyFill="1" applyBorder="1" applyAlignment="1" applyProtection="1">
      <alignment horizontal="center"/>
      <protection locked="0"/>
    </xf>
    <xf numFmtId="0" fontId="13" fillId="22" borderId="188" xfId="0" applyFont="1" applyFill="1" applyBorder="1" applyAlignment="1" applyProtection="1">
      <alignment horizontal="center"/>
      <protection locked="0"/>
    </xf>
    <xf numFmtId="0" fontId="13" fillId="49" borderId="188" xfId="0" applyFont="1" applyFill="1" applyBorder="1" applyAlignment="1" applyProtection="1">
      <alignment horizontal="center"/>
      <protection locked="0"/>
    </xf>
    <xf numFmtId="0" fontId="13" fillId="50" borderId="188" xfId="0" applyFont="1" applyFill="1" applyBorder="1" applyAlignment="1" applyProtection="1">
      <alignment horizontal="center"/>
      <protection locked="0"/>
    </xf>
    <xf numFmtId="0" fontId="13" fillId="51" borderId="188" xfId="0" applyFont="1" applyFill="1" applyBorder="1" applyAlignment="1" applyProtection="1">
      <alignment horizontal="center"/>
      <protection locked="0"/>
    </xf>
    <xf numFmtId="0" fontId="13" fillId="52" borderId="188" xfId="0" applyFont="1" applyFill="1" applyBorder="1" applyAlignment="1" applyProtection="1">
      <alignment horizontal="center"/>
      <protection locked="0"/>
    </xf>
    <xf numFmtId="0" fontId="14" fillId="23" borderId="188" xfId="0" applyFont="1" applyFill="1" applyBorder="1" applyAlignment="1">
      <alignment horizontal="center"/>
    </xf>
    <xf numFmtId="164" fontId="14" fillId="23" borderId="188" xfId="0" applyNumberFormat="1" applyFont="1" applyFill="1" applyBorder="1" applyAlignment="1">
      <alignment horizontal="center"/>
    </xf>
    <xf numFmtId="0" fontId="14" fillId="18" borderId="23" xfId="0" applyFont="1" applyFill="1" applyBorder="1"/>
    <xf numFmtId="0" fontId="14" fillId="18" borderId="193" xfId="0" applyFont="1" applyFill="1" applyBorder="1"/>
    <xf numFmtId="0" fontId="2" fillId="21" borderId="152" xfId="0" applyFont="1" applyFill="1" applyBorder="1"/>
    <xf numFmtId="0" fontId="2" fillId="21" borderId="153" xfId="0" applyFont="1" applyFill="1" applyBorder="1"/>
    <xf numFmtId="0" fontId="2" fillId="43" borderId="153" xfId="0" applyFont="1" applyFill="1" applyBorder="1"/>
    <xf numFmtId="0" fontId="2" fillId="43" borderId="154" xfId="0" applyFont="1" applyFill="1" applyBorder="1"/>
    <xf numFmtId="0" fontId="2" fillId="21" borderId="137" xfId="0" applyFont="1" applyFill="1" applyBorder="1"/>
    <xf numFmtId="0" fontId="2" fillId="21" borderId="23" xfId="0" applyFont="1" applyFill="1" applyBorder="1"/>
    <xf numFmtId="0" fontId="2" fillId="43" borderId="23" xfId="0" applyFont="1" applyFill="1" applyBorder="1"/>
    <xf numFmtId="0" fontId="2" fillId="43" borderId="138" xfId="0" applyFont="1" applyFill="1" applyBorder="1"/>
    <xf numFmtId="0" fontId="3" fillId="21" borderId="138" xfId="0" applyFont="1" applyFill="1" applyBorder="1"/>
    <xf numFmtId="0" fontId="20" fillId="21" borderId="23" xfId="0" applyFont="1" applyFill="1" applyBorder="1"/>
    <xf numFmtId="0" fontId="5" fillId="62" borderId="128" xfId="0" applyFont="1" applyFill="1" applyBorder="1" applyAlignment="1">
      <alignment horizontal="center" vertical="center"/>
    </xf>
    <xf numFmtId="0" fontId="2" fillId="21" borderId="23" xfId="0" applyFont="1" applyFill="1" applyBorder="1" applyAlignment="1">
      <alignment vertical="center"/>
    </xf>
    <xf numFmtId="14" fontId="5" fillId="43" borderId="23" xfId="0" applyNumberFormat="1" applyFont="1" applyFill="1" applyBorder="1" applyAlignment="1">
      <alignment horizontal="center"/>
    </xf>
    <xf numFmtId="0" fontId="2" fillId="21" borderId="138" xfId="0" applyFont="1" applyFill="1" applyBorder="1"/>
    <xf numFmtId="0" fontId="23" fillId="21" borderId="137" xfId="0" applyFont="1" applyFill="1" applyBorder="1"/>
    <xf numFmtId="0" fontId="23" fillId="21" borderId="23" xfId="0" applyFont="1" applyFill="1" applyBorder="1"/>
    <xf numFmtId="0" fontId="22" fillId="21" borderId="23" xfId="0" applyFont="1" applyFill="1" applyBorder="1"/>
    <xf numFmtId="0" fontId="23" fillId="43" borderId="23" xfId="0" applyFont="1" applyFill="1" applyBorder="1"/>
    <xf numFmtId="0" fontId="6" fillId="34" borderId="145" xfId="0" applyFont="1" applyFill="1" applyBorder="1" applyAlignment="1">
      <alignment horizontal="center" vertical="center"/>
    </xf>
    <xf numFmtId="0" fontId="6" fillId="34" borderId="13" xfId="0" applyFont="1" applyFill="1" applyBorder="1" applyAlignment="1">
      <alignment horizontal="center" vertical="center"/>
    </xf>
    <xf numFmtId="0" fontId="6" fillId="34" borderId="147" xfId="0" applyFont="1" applyFill="1" applyBorder="1" applyAlignment="1">
      <alignment horizontal="center" vertical="center"/>
    </xf>
    <xf numFmtId="0" fontId="6" fillId="34" borderId="18" xfId="0" applyFont="1" applyFill="1" applyBorder="1" applyAlignment="1">
      <alignment horizontal="center" vertical="center"/>
    </xf>
    <xf numFmtId="0" fontId="24" fillId="21" borderId="23" xfId="0" applyFont="1" applyFill="1" applyBorder="1"/>
    <xf numFmtId="0" fontId="0" fillId="21" borderId="138" xfId="0" applyFill="1" applyBorder="1"/>
    <xf numFmtId="0" fontId="6" fillId="34" borderId="20" xfId="0" applyFont="1" applyFill="1" applyBorder="1" applyAlignment="1">
      <alignment horizontal="center" vertical="center"/>
    </xf>
    <xf numFmtId="0" fontId="6" fillId="34" borderId="141" xfId="0" applyFont="1" applyFill="1" applyBorder="1" applyAlignment="1">
      <alignment horizontal="center" vertical="center"/>
    </xf>
    <xf numFmtId="0" fontId="6" fillId="34" borderId="151" xfId="0" applyFont="1" applyFill="1" applyBorder="1" applyAlignment="1">
      <alignment horizontal="center" vertical="center"/>
    </xf>
    <xf numFmtId="0" fontId="24" fillId="21" borderId="137" xfId="0" applyFont="1" applyFill="1" applyBorder="1"/>
    <xf numFmtId="0" fontId="0" fillId="21" borderId="137" xfId="0" applyFill="1" applyBorder="1"/>
    <xf numFmtId="0" fontId="0" fillId="21" borderId="23" xfId="0" applyFill="1" applyBorder="1"/>
    <xf numFmtId="0" fontId="6" fillId="34" borderId="96" xfId="0" applyFont="1" applyFill="1" applyBorder="1" applyAlignment="1">
      <alignment horizontal="center" vertical="center"/>
    </xf>
    <xf numFmtId="164" fontId="6" fillId="34" borderId="140" xfId="0" applyNumberFormat="1" applyFont="1" applyFill="1" applyBorder="1" applyAlignment="1">
      <alignment horizontal="center" vertical="center"/>
    </xf>
    <xf numFmtId="0" fontId="6" fillId="34" borderId="139" xfId="0" applyFont="1" applyFill="1" applyBorder="1" applyAlignment="1">
      <alignment horizontal="center" vertical="center"/>
    </xf>
    <xf numFmtId="0" fontId="25" fillId="34" borderId="23" xfId="0" applyFont="1" applyFill="1" applyBorder="1" applyAlignment="1">
      <alignment horizontal="center" vertical="center"/>
    </xf>
    <xf numFmtId="10" fontId="25" fillId="34" borderId="23" xfId="0" applyNumberFormat="1" applyFont="1" applyFill="1" applyBorder="1" applyAlignment="1" applyProtection="1">
      <alignment horizontal="center" vertical="center"/>
      <protection locked="0"/>
    </xf>
    <xf numFmtId="0" fontId="2" fillId="43" borderId="23" xfId="0" applyFont="1" applyFill="1" applyBorder="1" applyAlignment="1">
      <alignment vertical="center"/>
    </xf>
    <xf numFmtId="0" fontId="28" fillId="21" borderId="23" xfId="0" applyFont="1" applyFill="1" applyBorder="1" applyAlignment="1">
      <alignment horizontal="right" vertical="top"/>
    </xf>
    <xf numFmtId="0" fontId="0" fillId="21" borderId="155" xfId="0" applyFill="1" applyBorder="1"/>
    <xf numFmtId="0" fontId="0" fillId="21" borderId="156" xfId="0" applyFill="1" applyBorder="1"/>
    <xf numFmtId="0" fontId="0" fillId="21" borderId="157" xfId="0" applyFill="1" applyBorder="1"/>
    <xf numFmtId="0" fontId="38" fillId="21" borderId="23" xfId="0" applyFont="1" applyFill="1" applyBorder="1" applyAlignment="1">
      <alignment vertical="center"/>
    </xf>
    <xf numFmtId="0" fontId="11" fillId="64" borderId="35" xfId="0" applyFont="1" applyFill="1" applyBorder="1" applyAlignment="1">
      <alignment horizontal="center" vertical="center" textRotation="90"/>
    </xf>
    <xf numFmtId="0" fontId="11" fillId="53" borderId="35" xfId="0" applyFont="1" applyFill="1" applyBorder="1" applyAlignment="1">
      <alignment horizontal="center" vertical="center" textRotation="90"/>
    </xf>
    <xf numFmtId="0" fontId="11" fillId="54" borderId="35" xfId="0" applyFont="1" applyFill="1" applyBorder="1" applyAlignment="1">
      <alignment horizontal="center" vertical="center" textRotation="90"/>
    </xf>
    <xf numFmtId="0" fontId="11" fillId="55" borderId="35" xfId="0" applyFont="1" applyFill="1" applyBorder="1" applyAlignment="1">
      <alignment horizontal="center" vertical="center" textRotation="90"/>
    </xf>
    <xf numFmtId="0" fontId="11" fillId="65" borderId="35" xfId="0" applyFont="1" applyFill="1" applyBorder="1" applyAlignment="1">
      <alignment horizontal="center" vertical="center" textRotation="90"/>
    </xf>
    <xf numFmtId="0" fontId="11" fillId="56" borderId="35" xfId="0" applyFont="1" applyFill="1" applyBorder="1" applyAlignment="1">
      <alignment horizontal="center" vertical="center" textRotation="90"/>
    </xf>
    <xf numFmtId="0" fontId="11" fillId="57" borderId="35" xfId="0" applyFont="1" applyFill="1" applyBorder="1" applyAlignment="1">
      <alignment horizontal="center" vertical="center" textRotation="90"/>
    </xf>
    <xf numFmtId="0" fontId="2" fillId="58" borderId="36" xfId="0" applyFont="1" applyFill="1" applyBorder="1" applyAlignment="1">
      <alignment horizontal="center" vertical="center" textRotation="90"/>
    </xf>
    <xf numFmtId="0" fontId="2" fillId="59" borderId="35" xfId="0" applyFont="1" applyFill="1" applyBorder="1" applyAlignment="1">
      <alignment horizontal="center" vertical="center" textRotation="90"/>
    </xf>
    <xf numFmtId="0" fontId="2" fillId="60" borderId="35" xfId="0" applyFont="1" applyFill="1" applyBorder="1" applyAlignment="1">
      <alignment horizontal="center" vertical="center" textRotation="90"/>
    </xf>
    <xf numFmtId="0" fontId="2" fillId="61" borderId="37" xfId="0" applyFont="1" applyFill="1" applyBorder="1" applyAlignment="1">
      <alignment horizontal="center" vertical="center" textRotation="90"/>
    </xf>
    <xf numFmtId="0" fontId="11" fillId="64" borderId="15" xfId="0" applyFont="1" applyFill="1" applyBorder="1" applyAlignment="1">
      <alignment horizontal="center" vertical="center" textRotation="90"/>
    </xf>
    <xf numFmtId="0" fontId="11" fillId="53" borderId="15" xfId="0" applyFont="1" applyFill="1" applyBorder="1" applyAlignment="1">
      <alignment horizontal="center" vertical="center" textRotation="90"/>
    </xf>
    <xf numFmtId="0" fontId="11" fillId="54" borderId="15" xfId="0" applyFont="1" applyFill="1" applyBorder="1" applyAlignment="1">
      <alignment horizontal="center" vertical="center" textRotation="90"/>
    </xf>
    <xf numFmtId="0" fontId="11" fillId="55" borderId="15" xfId="0" applyFont="1" applyFill="1" applyBorder="1" applyAlignment="1">
      <alignment horizontal="center" vertical="center" textRotation="90"/>
    </xf>
    <xf numFmtId="0" fontId="11" fillId="65" borderId="15" xfId="0" applyFont="1" applyFill="1" applyBorder="1" applyAlignment="1">
      <alignment horizontal="center" vertical="center" textRotation="90"/>
    </xf>
    <xf numFmtId="0" fontId="11" fillId="56" borderId="15" xfId="0" applyFont="1" applyFill="1" applyBorder="1" applyAlignment="1">
      <alignment horizontal="center" vertical="center" textRotation="90"/>
    </xf>
    <xf numFmtId="0" fontId="30" fillId="57" borderId="91" xfId="0" applyFont="1" applyFill="1" applyBorder="1" applyAlignment="1">
      <alignment horizontal="center" vertical="center" textRotation="90"/>
    </xf>
    <xf numFmtId="0" fontId="6" fillId="66" borderId="26" xfId="0" applyFont="1" applyFill="1" applyBorder="1"/>
    <xf numFmtId="0" fontId="13" fillId="24" borderId="204" xfId="0" applyFont="1" applyFill="1" applyBorder="1" applyAlignment="1">
      <alignment horizontal="center"/>
    </xf>
    <xf numFmtId="0" fontId="18" fillId="24" borderId="204" xfId="0" applyFont="1" applyFill="1" applyBorder="1" applyAlignment="1">
      <alignment horizontal="center"/>
    </xf>
    <xf numFmtId="0" fontId="19" fillId="23" borderId="204" xfId="0" applyFont="1" applyFill="1" applyBorder="1" applyAlignment="1">
      <alignment horizontal="center"/>
    </xf>
    <xf numFmtId="164" fontId="13" fillId="24" borderId="204" xfId="0" applyNumberFormat="1" applyFont="1" applyFill="1" applyBorder="1" applyAlignment="1">
      <alignment horizontal="center"/>
    </xf>
    <xf numFmtId="0" fontId="13" fillId="23" borderId="204" xfId="0" applyFont="1" applyFill="1" applyBorder="1" applyAlignment="1" applyProtection="1">
      <alignment horizontal="center"/>
      <protection locked="0"/>
    </xf>
    <xf numFmtId="0" fontId="32" fillId="35" borderId="204" xfId="0" applyFont="1" applyFill="1" applyBorder="1" applyAlignment="1" applyProtection="1">
      <alignment horizontal="center"/>
      <protection locked="0"/>
    </xf>
    <xf numFmtId="0" fontId="13" fillId="36" borderId="204" xfId="0" applyFont="1" applyFill="1" applyBorder="1" applyAlignment="1" applyProtection="1">
      <alignment horizontal="center"/>
      <protection locked="0"/>
    </xf>
    <xf numFmtId="0" fontId="13" fillId="37" borderId="204" xfId="0" applyFont="1" applyFill="1" applyBorder="1" applyAlignment="1" applyProtection="1">
      <alignment horizontal="center"/>
      <protection locked="0"/>
    </xf>
    <xf numFmtId="0" fontId="13" fillId="38" borderId="204" xfId="0" applyFont="1" applyFill="1" applyBorder="1" applyAlignment="1" applyProtection="1">
      <alignment horizontal="center"/>
      <protection locked="0"/>
    </xf>
    <xf numFmtId="0" fontId="13" fillId="39" borderId="204" xfId="0" applyFont="1" applyFill="1" applyBorder="1" applyAlignment="1" applyProtection="1">
      <alignment horizontal="center"/>
      <protection locked="0"/>
    </xf>
    <xf numFmtId="0" fontId="13" fillId="40" borderId="204" xfId="0" applyFont="1" applyFill="1" applyBorder="1" applyAlignment="1" applyProtection="1">
      <alignment horizontal="center"/>
      <protection locked="0"/>
    </xf>
    <xf numFmtId="0" fontId="13" fillId="41" borderId="204" xfId="0" applyFont="1" applyFill="1" applyBorder="1" applyAlignment="1" applyProtection="1">
      <alignment horizontal="center"/>
      <protection locked="0"/>
    </xf>
    <xf numFmtId="0" fontId="13" fillId="42" borderId="204" xfId="0" applyFont="1" applyFill="1" applyBorder="1" applyAlignment="1" applyProtection="1">
      <alignment horizontal="center"/>
      <protection locked="0"/>
    </xf>
    <xf numFmtId="0" fontId="13" fillId="22" borderId="204" xfId="0" applyFont="1" applyFill="1" applyBorder="1" applyAlignment="1" applyProtection="1">
      <alignment horizontal="center"/>
      <protection locked="0"/>
    </xf>
    <xf numFmtId="0" fontId="14" fillId="23" borderId="204" xfId="0" applyFont="1" applyFill="1" applyBorder="1" applyAlignment="1">
      <alignment horizontal="center"/>
    </xf>
    <xf numFmtId="164" fontId="14" fillId="23" borderId="204" xfId="0" applyNumberFormat="1" applyFont="1" applyFill="1" applyBorder="1" applyAlignment="1">
      <alignment horizontal="center"/>
    </xf>
    <xf numFmtId="0" fontId="13" fillId="23" borderId="205" xfId="0" applyFont="1" applyFill="1" applyBorder="1" applyAlignment="1">
      <alignment horizontal="center"/>
    </xf>
    <xf numFmtId="0" fontId="18" fillId="23" borderId="205" xfId="0" applyFont="1" applyFill="1" applyBorder="1" applyAlignment="1">
      <alignment horizontal="center"/>
    </xf>
    <xf numFmtId="0" fontId="19" fillId="23" borderId="205" xfId="0" applyFont="1" applyFill="1" applyBorder="1" applyAlignment="1">
      <alignment horizontal="center"/>
    </xf>
    <xf numFmtId="164" fontId="13" fillId="23" borderId="205" xfId="0" applyNumberFormat="1" applyFont="1" applyFill="1" applyBorder="1" applyAlignment="1">
      <alignment horizontal="center"/>
    </xf>
    <xf numFmtId="0" fontId="13" fillId="23" borderId="205" xfId="0" applyFont="1" applyFill="1" applyBorder="1" applyAlignment="1" applyProtection="1">
      <alignment horizontal="center"/>
      <protection locked="0"/>
    </xf>
    <xf numFmtId="0" fontId="32" fillId="35" borderId="205" xfId="0" applyFont="1" applyFill="1" applyBorder="1" applyAlignment="1" applyProtection="1">
      <alignment horizontal="center"/>
      <protection locked="0"/>
    </xf>
    <xf numFmtId="0" fontId="13" fillId="36" borderId="205" xfId="0" applyFont="1" applyFill="1" applyBorder="1" applyAlignment="1" applyProtection="1">
      <alignment horizontal="center"/>
      <protection locked="0"/>
    </xf>
    <xf numFmtId="0" fontId="13" fillId="37" borderId="205" xfId="0" applyFont="1" applyFill="1" applyBorder="1" applyAlignment="1" applyProtection="1">
      <alignment horizontal="center"/>
      <protection locked="0"/>
    </xf>
    <xf numFmtId="0" fontId="13" fillId="38" borderId="205" xfId="0" applyFont="1" applyFill="1" applyBorder="1" applyAlignment="1" applyProtection="1">
      <alignment horizontal="center"/>
      <protection locked="0"/>
    </xf>
    <xf numFmtId="0" fontId="13" fillId="39" borderId="205" xfId="0" applyFont="1" applyFill="1" applyBorder="1" applyAlignment="1" applyProtection="1">
      <alignment horizontal="center"/>
      <protection locked="0"/>
    </xf>
    <xf numFmtId="0" fontId="13" fillId="40" borderId="205" xfId="0" applyFont="1" applyFill="1" applyBorder="1" applyAlignment="1" applyProtection="1">
      <alignment horizontal="center"/>
      <protection locked="0"/>
    </xf>
    <xf numFmtId="0" fontId="13" fillId="47" borderId="205" xfId="0" applyFont="1" applyFill="1" applyBorder="1" applyAlignment="1" applyProtection="1">
      <alignment horizontal="center"/>
      <protection locked="0"/>
    </xf>
    <xf numFmtId="0" fontId="13" fillId="48" borderId="205" xfId="0" applyFont="1" applyFill="1" applyBorder="1" applyAlignment="1" applyProtection="1">
      <alignment horizontal="center"/>
      <protection locked="0"/>
    </xf>
    <xf numFmtId="0" fontId="13" fillId="41" borderId="205" xfId="0" applyFont="1" applyFill="1" applyBorder="1" applyAlignment="1" applyProtection="1">
      <alignment horizontal="center"/>
      <protection locked="0"/>
    </xf>
    <xf numFmtId="0" fontId="13" fillId="42" borderId="205" xfId="0" applyFont="1" applyFill="1" applyBorder="1" applyAlignment="1" applyProtection="1">
      <alignment horizontal="center"/>
      <protection locked="0"/>
    </xf>
    <xf numFmtId="0" fontId="13" fillId="22" borderId="205" xfId="0" applyFont="1" applyFill="1" applyBorder="1" applyAlignment="1" applyProtection="1">
      <alignment horizontal="center"/>
      <protection locked="0"/>
    </xf>
    <xf numFmtId="0" fontId="13" fillId="49" borderId="205" xfId="0" applyFont="1" applyFill="1" applyBorder="1" applyAlignment="1" applyProtection="1">
      <alignment horizontal="center"/>
      <protection locked="0"/>
    </xf>
    <xf numFmtId="0" fontId="13" fillId="50" borderId="205" xfId="0" applyFont="1" applyFill="1" applyBorder="1" applyAlignment="1" applyProtection="1">
      <alignment horizontal="center"/>
      <protection locked="0"/>
    </xf>
    <xf numFmtId="0" fontId="13" fillId="51" borderId="205" xfId="0" applyFont="1" applyFill="1" applyBorder="1" applyAlignment="1" applyProtection="1">
      <alignment horizontal="center"/>
      <protection locked="0"/>
    </xf>
    <xf numFmtId="0" fontId="13" fillId="52" borderId="205" xfId="0" applyFont="1" applyFill="1" applyBorder="1" applyAlignment="1" applyProtection="1">
      <alignment horizontal="center"/>
      <protection locked="0"/>
    </xf>
    <xf numFmtId="0" fontId="14" fillId="23" borderId="205" xfId="0" applyFont="1" applyFill="1" applyBorder="1" applyAlignment="1">
      <alignment horizontal="center"/>
    </xf>
    <xf numFmtId="164" fontId="14" fillId="23" borderId="205" xfId="0" applyNumberFormat="1" applyFont="1" applyFill="1" applyBorder="1" applyAlignment="1">
      <alignment horizontal="center"/>
    </xf>
    <xf numFmtId="0" fontId="2" fillId="0" borderId="23" xfId="0" applyFont="1" applyBorder="1" applyAlignment="1">
      <alignment vertical="center"/>
    </xf>
    <xf numFmtId="0" fontId="13" fillId="2" borderId="23" xfId="0" applyFont="1" applyFill="1" applyBorder="1"/>
    <xf numFmtId="0" fontId="14" fillId="2" borderId="23" xfId="0" applyFont="1" applyFill="1" applyBorder="1"/>
    <xf numFmtId="0" fontId="11" fillId="58" borderId="242" xfId="0" applyFont="1" applyFill="1" applyBorder="1" applyAlignment="1">
      <alignment horizontal="center" vertical="center" textRotation="90"/>
    </xf>
    <xf numFmtId="0" fontId="11" fillId="59" borderId="19" xfId="0" applyFont="1" applyFill="1" applyBorder="1" applyAlignment="1">
      <alignment horizontal="center" vertical="center" textRotation="90"/>
    </xf>
    <xf numFmtId="0" fontId="11" fillId="60" borderId="19" xfId="0" applyFont="1" applyFill="1" applyBorder="1" applyAlignment="1">
      <alignment horizontal="center" vertical="center" textRotation="90"/>
    </xf>
    <xf numFmtId="0" fontId="11" fillId="61" borderId="91" xfId="0" applyFont="1" applyFill="1" applyBorder="1" applyAlignment="1">
      <alignment horizontal="center" vertical="center" textRotation="90"/>
    </xf>
    <xf numFmtId="0" fontId="4" fillId="0" borderId="23" xfId="0" applyFont="1" applyBorder="1"/>
    <xf numFmtId="0" fontId="9" fillId="0" borderId="23" xfId="0" applyFont="1" applyBorder="1"/>
    <xf numFmtId="0" fontId="9" fillId="0" borderId="122" xfId="0" applyFont="1" applyBorder="1"/>
    <xf numFmtId="0" fontId="13" fillId="0" borderId="23" xfId="0" applyFont="1" applyBorder="1" applyAlignment="1">
      <alignment horizontal="center"/>
    </xf>
    <xf numFmtId="0" fontId="39" fillId="0" borderId="23" xfId="0" applyFont="1" applyBorder="1" applyAlignment="1">
      <alignment horizontal="center"/>
    </xf>
    <xf numFmtId="0" fontId="41" fillId="0" borderId="222" xfId="0" applyFont="1" applyBorder="1"/>
    <xf numFmtId="0" fontId="42" fillId="0" borderId="222" xfId="0" applyFont="1" applyBorder="1"/>
    <xf numFmtId="0" fontId="43" fillId="0" borderId="222" xfId="0" applyFont="1" applyBorder="1"/>
    <xf numFmtId="0" fontId="44" fillId="0" borderId="222" xfId="0" applyFont="1" applyBorder="1"/>
    <xf numFmtId="0" fontId="18" fillId="0" borderId="23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164" fontId="14" fillId="0" borderId="23" xfId="0" applyNumberFormat="1" applyFont="1" applyBorder="1" applyAlignment="1">
      <alignment horizontal="center"/>
    </xf>
    <xf numFmtId="0" fontId="13" fillId="68" borderId="23" xfId="0" applyFont="1" applyFill="1" applyBorder="1" applyAlignment="1" applyProtection="1">
      <alignment horizontal="center"/>
      <protection locked="0"/>
    </xf>
    <xf numFmtId="0" fontId="32" fillId="69" borderId="23" xfId="0" applyFont="1" applyFill="1" applyBorder="1" applyAlignment="1" applyProtection="1">
      <alignment horizontal="center"/>
      <protection locked="0"/>
    </xf>
    <xf numFmtId="0" fontId="13" fillId="70" borderId="23" xfId="0" applyFont="1" applyFill="1" applyBorder="1" applyAlignment="1" applyProtection="1">
      <alignment horizontal="center"/>
      <protection locked="0"/>
    </xf>
    <xf numFmtId="0" fontId="13" fillId="71" borderId="23" xfId="0" applyFont="1" applyFill="1" applyBorder="1" applyAlignment="1" applyProtection="1">
      <alignment horizontal="center"/>
      <protection locked="0"/>
    </xf>
    <xf numFmtId="0" fontId="13" fillId="72" borderId="23" xfId="0" applyFont="1" applyFill="1" applyBorder="1" applyAlignment="1" applyProtection="1">
      <alignment horizontal="center"/>
      <protection locked="0"/>
    </xf>
    <xf numFmtId="0" fontId="13" fillId="73" borderId="23" xfId="0" applyFont="1" applyFill="1" applyBorder="1" applyAlignment="1" applyProtection="1">
      <alignment horizontal="center"/>
      <protection locked="0"/>
    </xf>
    <xf numFmtId="0" fontId="13" fillId="74" borderId="23" xfId="0" applyFont="1" applyFill="1" applyBorder="1" applyAlignment="1" applyProtection="1">
      <alignment horizontal="center"/>
      <protection locked="0"/>
    </xf>
    <xf numFmtId="0" fontId="13" fillId="75" borderId="23" xfId="0" applyFont="1" applyFill="1" applyBorder="1" applyAlignment="1" applyProtection="1">
      <alignment horizontal="center"/>
      <protection locked="0"/>
    </xf>
    <xf numFmtId="0" fontId="13" fillId="76" borderId="23" xfId="0" applyFont="1" applyFill="1" applyBorder="1" applyAlignment="1" applyProtection="1">
      <alignment horizontal="center"/>
      <protection locked="0"/>
    </xf>
    <xf numFmtId="0" fontId="13" fillId="77" borderId="23" xfId="0" applyFont="1" applyFill="1" applyBorder="1" applyAlignment="1" applyProtection="1">
      <alignment horizontal="center"/>
      <protection locked="0"/>
    </xf>
    <xf numFmtId="0" fontId="13" fillId="78" borderId="23" xfId="0" applyFont="1" applyFill="1" applyBorder="1" applyAlignment="1" applyProtection="1">
      <alignment horizontal="center"/>
      <protection locked="0"/>
    </xf>
    <xf numFmtId="0" fontId="13" fillId="79" borderId="23" xfId="0" applyFont="1" applyFill="1" applyBorder="1" applyAlignment="1" applyProtection="1">
      <alignment horizontal="center"/>
      <protection locked="0"/>
    </xf>
    <xf numFmtId="0" fontId="13" fillId="80" borderId="23" xfId="0" applyFont="1" applyFill="1" applyBorder="1" applyAlignment="1" applyProtection="1">
      <alignment horizontal="center"/>
      <protection locked="0"/>
    </xf>
    <xf numFmtId="0" fontId="13" fillId="81" borderId="23" xfId="0" applyFont="1" applyFill="1" applyBorder="1" applyAlignment="1" applyProtection="1">
      <alignment horizontal="center"/>
      <protection locked="0"/>
    </xf>
    <xf numFmtId="0" fontId="13" fillId="82" borderId="23" xfId="0" applyFont="1" applyFill="1" applyBorder="1" applyAlignment="1" applyProtection="1">
      <alignment horizontal="center"/>
      <protection locked="0"/>
    </xf>
    <xf numFmtId="0" fontId="13" fillId="83" borderId="23" xfId="0" applyFont="1" applyFill="1" applyBorder="1" applyAlignment="1" applyProtection="1">
      <alignment horizontal="center"/>
      <protection locked="0"/>
    </xf>
    <xf numFmtId="0" fontId="14" fillId="68" borderId="23" xfId="0" applyFont="1" applyFill="1" applyBorder="1" applyAlignment="1">
      <alignment horizontal="center"/>
    </xf>
    <xf numFmtId="0" fontId="6" fillId="34" borderId="23" xfId="0" applyFont="1" applyFill="1" applyBorder="1" applyAlignment="1">
      <alignment horizontal="center" vertical="center"/>
    </xf>
    <xf numFmtId="164" fontId="8" fillId="34" borderId="23" xfId="0" applyNumberFormat="1" applyFont="1" applyFill="1" applyBorder="1" applyAlignment="1">
      <alignment horizontal="center" vertical="center"/>
    </xf>
    <xf numFmtId="0" fontId="45" fillId="21" borderId="252" xfId="0" applyFont="1" applyFill="1" applyBorder="1" applyAlignment="1">
      <alignment horizontal="center" vertical="center"/>
    </xf>
    <xf numFmtId="0" fontId="45" fillId="21" borderId="257" xfId="0" applyFont="1" applyFill="1" applyBorder="1" applyAlignment="1">
      <alignment horizontal="center" vertical="center"/>
    </xf>
    <xf numFmtId="0" fontId="45" fillId="21" borderId="260" xfId="0" applyFont="1" applyFill="1" applyBorder="1" applyAlignment="1">
      <alignment horizontal="center" vertical="center"/>
    </xf>
    <xf numFmtId="0" fontId="9" fillId="0" borderId="23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11" fillId="0" borderId="42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49" fillId="0" borderId="106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164" fontId="11" fillId="0" borderId="44" xfId="0" applyNumberFormat="1" applyFont="1" applyBorder="1" applyAlignment="1">
      <alignment horizontal="center"/>
    </xf>
    <xf numFmtId="0" fontId="11" fillId="0" borderId="42" xfId="0" applyFont="1" applyBorder="1" applyAlignment="1" applyProtection="1">
      <alignment horizontal="center"/>
      <protection locked="0"/>
    </xf>
    <xf numFmtId="0" fontId="30" fillId="26" borderId="43" xfId="0" applyFont="1" applyFill="1" applyBorder="1" applyAlignment="1" applyProtection="1">
      <alignment horizontal="center"/>
      <protection locked="0"/>
    </xf>
    <xf numFmtId="0" fontId="11" fillId="6" borderId="43" xfId="0" applyFont="1" applyFill="1" applyBorder="1" applyAlignment="1" applyProtection="1">
      <alignment horizontal="center"/>
      <protection locked="0"/>
    </xf>
    <xf numFmtId="0" fontId="11" fillId="5" borderId="43" xfId="0" applyFont="1" applyFill="1" applyBorder="1" applyAlignment="1" applyProtection="1">
      <alignment horizontal="center"/>
      <protection locked="0"/>
    </xf>
    <xf numFmtId="0" fontId="11" fillId="7" borderId="43" xfId="0" applyFont="1" applyFill="1" applyBorder="1" applyAlignment="1" applyProtection="1">
      <alignment horizontal="center"/>
      <protection locked="0"/>
    </xf>
    <xf numFmtId="0" fontId="11" fillId="8" borderId="43" xfId="0" applyFont="1" applyFill="1" applyBorder="1" applyAlignment="1" applyProtection="1">
      <alignment horizontal="center"/>
      <protection locked="0"/>
    </xf>
    <xf numFmtId="0" fontId="11" fillId="9" borderId="43" xfId="0" applyFont="1" applyFill="1" applyBorder="1" applyAlignment="1" applyProtection="1">
      <alignment horizontal="center"/>
      <protection locked="0"/>
    </xf>
    <xf numFmtId="0" fontId="11" fillId="10" borderId="43" xfId="0" applyFont="1" applyFill="1" applyBorder="1" applyAlignment="1" applyProtection="1">
      <alignment horizontal="center"/>
      <protection locked="0"/>
    </xf>
    <xf numFmtId="0" fontId="11" fillId="11" borderId="43" xfId="0" applyFont="1" applyFill="1" applyBorder="1" applyAlignment="1" applyProtection="1">
      <alignment horizontal="center"/>
      <protection locked="0"/>
    </xf>
    <xf numFmtId="0" fontId="11" fillId="12" borderId="43" xfId="0" applyFont="1" applyFill="1" applyBorder="1" applyAlignment="1" applyProtection="1">
      <alignment horizontal="center"/>
      <protection locked="0"/>
    </xf>
    <xf numFmtId="0" fontId="11" fillId="13" borderId="43" xfId="0" applyFont="1" applyFill="1" applyBorder="1" applyAlignment="1" applyProtection="1">
      <alignment horizontal="center"/>
      <protection locked="0"/>
    </xf>
    <xf numFmtId="0" fontId="11" fillId="4" borderId="43" xfId="0" applyFont="1" applyFill="1" applyBorder="1" applyAlignment="1" applyProtection="1">
      <alignment horizontal="center"/>
      <protection locked="0"/>
    </xf>
    <xf numFmtId="0" fontId="11" fillId="14" borderId="45" xfId="0" applyFont="1" applyFill="1" applyBorder="1" applyAlignment="1" applyProtection="1">
      <alignment horizontal="center"/>
      <protection locked="0"/>
    </xf>
    <xf numFmtId="0" fontId="11" fillId="15" borderId="46" xfId="0" applyFont="1" applyFill="1" applyBorder="1" applyAlignment="1" applyProtection="1">
      <alignment horizontal="center"/>
      <protection locked="0"/>
    </xf>
    <xf numFmtId="0" fontId="11" fillId="16" borderId="43" xfId="0" applyFont="1" applyFill="1" applyBorder="1" applyAlignment="1" applyProtection="1">
      <alignment horizontal="center"/>
      <protection locked="0"/>
    </xf>
    <xf numFmtId="0" fontId="11" fillId="17" borderId="43" xfId="0" applyFont="1" applyFill="1" applyBorder="1" applyAlignment="1" applyProtection="1">
      <alignment horizontal="center"/>
      <protection locked="0"/>
    </xf>
    <xf numFmtId="0" fontId="11" fillId="7" borderId="47" xfId="0" applyFont="1" applyFill="1" applyBorder="1" applyAlignment="1" applyProtection="1">
      <alignment horizontal="center"/>
      <protection locked="0"/>
    </xf>
    <xf numFmtId="0" fontId="6" fillId="0" borderId="48" xfId="0" applyFont="1" applyBorder="1" applyAlignment="1">
      <alignment horizontal="center"/>
    </xf>
    <xf numFmtId="164" fontId="6" fillId="0" borderId="49" xfId="0" applyNumberFormat="1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49" fillId="0" borderId="7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30" fillId="26" borderId="53" xfId="0" applyFont="1" applyFill="1" applyBorder="1" applyAlignment="1" applyProtection="1">
      <alignment horizontal="center"/>
      <protection locked="0"/>
    </xf>
    <xf numFmtId="0" fontId="11" fillId="6" borderId="53" xfId="0" applyFont="1" applyFill="1" applyBorder="1" applyAlignment="1" applyProtection="1">
      <alignment horizontal="center"/>
      <protection locked="0"/>
    </xf>
    <xf numFmtId="0" fontId="11" fillId="5" borderId="53" xfId="0" applyFont="1" applyFill="1" applyBorder="1" applyAlignment="1" applyProtection="1">
      <alignment horizontal="center"/>
      <protection locked="0"/>
    </xf>
    <xf numFmtId="0" fontId="11" fillId="7" borderId="53" xfId="0" applyFont="1" applyFill="1" applyBorder="1" applyAlignment="1" applyProtection="1">
      <alignment horizontal="center"/>
      <protection locked="0"/>
    </xf>
    <xf numFmtId="0" fontId="11" fillId="8" borderId="53" xfId="0" applyFont="1" applyFill="1" applyBorder="1" applyAlignment="1" applyProtection="1">
      <alignment horizontal="center"/>
      <protection locked="0"/>
    </xf>
    <xf numFmtId="0" fontId="11" fillId="9" borderId="53" xfId="0" applyFont="1" applyFill="1" applyBorder="1" applyAlignment="1" applyProtection="1">
      <alignment horizontal="center"/>
      <protection locked="0"/>
    </xf>
    <xf numFmtId="0" fontId="11" fillId="10" borderId="53" xfId="0" applyFont="1" applyFill="1" applyBorder="1" applyAlignment="1" applyProtection="1">
      <alignment horizontal="center"/>
      <protection locked="0"/>
    </xf>
    <xf numFmtId="0" fontId="11" fillId="11" borderId="53" xfId="0" applyFont="1" applyFill="1" applyBorder="1" applyAlignment="1" applyProtection="1">
      <alignment horizontal="center"/>
      <protection locked="0"/>
    </xf>
    <xf numFmtId="0" fontId="11" fillId="12" borderId="53" xfId="0" applyFont="1" applyFill="1" applyBorder="1" applyAlignment="1" applyProtection="1">
      <alignment horizontal="center"/>
      <protection locked="0"/>
    </xf>
    <xf numFmtId="0" fontId="11" fillId="13" borderId="53" xfId="0" applyFont="1" applyFill="1" applyBorder="1" applyAlignment="1" applyProtection="1">
      <alignment horizontal="center"/>
      <protection locked="0"/>
    </xf>
    <xf numFmtId="0" fontId="11" fillId="4" borderId="53" xfId="0" applyFont="1" applyFill="1" applyBorder="1" applyAlignment="1" applyProtection="1">
      <alignment horizontal="center"/>
      <protection locked="0"/>
    </xf>
    <xf numFmtId="0" fontId="11" fillId="14" borderId="5" xfId="0" applyFont="1" applyFill="1" applyBorder="1" applyAlignment="1" applyProtection="1">
      <alignment horizontal="center"/>
      <protection locked="0"/>
    </xf>
    <xf numFmtId="0" fontId="11" fillId="15" borderId="54" xfId="0" applyFont="1" applyFill="1" applyBorder="1" applyAlignment="1" applyProtection="1">
      <alignment horizontal="center"/>
      <protection locked="0"/>
    </xf>
    <xf numFmtId="0" fontId="11" fillId="16" borderId="53" xfId="0" applyFont="1" applyFill="1" applyBorder="1" applyAlignment="1" applyProtection="1">
      <alignment horizontal="center"/>
      <protection locked="0"/>
    </xf>
    <xf numFmtId="0" fontId="11" fillId="17" borderId="53" xfId="0" applyFont="1" applyFill="1" applyBorder="1" applyAlignment="1" applyProtection="1">
      <alignment horizontal="center"/>
      <protection locked="0"/>
    </xf>
    <xf numFmtId="0" fontId="11" fillId="7" borderId="55" xfId="0" applyFont="1" applyFill="1" applyBorder="1" applyAlignment="1" applyProtection="1">
      <alignment horizontal="center"/>
      <protection locked="0"/>
    </xf>
    <xf numFmtId="0" fontId="11" fillId="0" borderId="56" xfId="0" applyFont="1" applyBorder="1" applyAlignment="1">
      <alignment horizontal="center"/>
    </xf>
    <xf numFmtId="0" fontId="11" fillId="0" borderId="59" xfId="0" applyFont="1" applyBorder="1" applyAlignment="1">
      <alignment horizontal="center"/>
    </xf>
    <xf numFmtId="0" fontId="49" fillId="0" borderId="38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164" fontId="11" fillId="0" borderId="58" xfId="0" applyNumberFormat="1" applyFont="1" applyBorder="1" applyAlignment="1">
      <alignment horizontal="center"/>
    </xf>
    <xf numFmtId="0" fontId="11" fillId="0" borderId="38" xfId="0" applyFont="1" applyBorder="1" applyAlignment="1" applyProtection="1">
      <alignment horizontal="center"/>
      <protection locked="0"/>
    </xf>
    <xf numFmtId="0" fontId="30" fillId="26" borderId="57" xfId="0" applyFont="1" applyFill="1" applyBorder="1" applyAlignment="1" applyProtection="1">
      <alignment horizontal="center"/>
      <protection locked="0"/>
    </xf>
    <xf numFmtId="0" fontId="11" fillId="6" borderId="57" xfId="0" applyFont="1" applyFill="1" applyBorder="1" applyAlignment="1" applyProtection="1">
      <alignment horizontal="center"/>
      <protection locked="0"/>
    </xf>
    <xf numFmtId="0" fontId="11" fillId="5" borderId="57" xfId="0" applyFont="1" applyFill="1" applyBorder="1" applyAlignment="1" applyProtection="1">
      <alignment horizontal="center"/>
      <protection locked="0"/>
    </xf>
    <xf numFmtId="0" fontId="11" fillId="7" borderId="57" xfId="0" applyFont="1" applyFill="1" applyBorder="1" applyAlignment="1" applyProtection="1">
      <alignment horizontal="center"/>
      <protection locked="0"/>
    </xf>
    <xf numFmtId="0" fontId="11" fillId="8" borderId="57" xfId="0" applyFont="1" applyFill="1" applyBorder="1" applyAlignment="1" applyProtection="1">
      <alignment horizontal="center"/>
      <protection locked="0"/>
    </xf>
    <xf numFmtId="0" fontId="11" fillId="9" borderId="57" xfId="0" applyFont="1" applyFill="1" applyBorder="1" applyAlignment="1" applyProtection="1">
      <alignment horizontal="center"/>
      <protection locked="0"/>
    </xf>
    <xf numFmtId="0" fontId="11" fillId="10" borderId="57" xfId="0" applyFont="1" applyFill="1" applyBorder="1" applyAlignment="1" applyProtection="1">
      <alignment horizontal="center"/>
      <protection locked="0"/>
    </xf>
    <xf numFmtId="0" fontId="11" fillId="11" borderId="57" xfId="0" applyFont="1" applyFill="1" applyBorder="1" applyAlignment="1" applyProtection="1">
      <alignment horizontal="center"/>
      <protection locked="0"/>
    </xf>
    <xf numFmtId="0" fontId="11" fillId="12" borderId="57" xfId="0" applyFont="1" applyFill="1" applyBorder="1" applyAlignment="1" applyProtection="1">
      <alignment horizontal="center"/>
      <protection locked="0"/>
    </xf>
    <xf numFmtId="0" fontId="11" fillId="13" borderId="57" xfId="0" applyFont="1" applyFill="1" applyBorder="1" applyAlignment="1" applyProtection="1">
      <alignment horizontal="center"/>
      <protection locked="0"/>
    </xf>
    <xf numFmtId="0" fontId="11" fillId="4" borderId="57" xfId="0" applyFont="1" applyFill="1" applyBorder="1" applyAlignment="1" applyProtection="1">
      <alignment horizontal="center"/>
      <protection locked="0"/>
    </xf>
    <xf numFmtId="0" fontId="11" fillId="14" borderId="59" xfId="0" applyFont="1" applyFill="1" applyBorder="1" applyAlignment="1" applyProtection="1">
      <alignment horizontal="center"/>
      <protection locked="0"/>
    </xf>
    <xf numFmtId="0" fontId="11" fillId="15" borderId="60" xfId="0" applyFont="1" applyFill="1" applyBorder="1" applyAlignment="1" applyProtection="1">
      <alignment horizontal="center"/>
      <protection locked="0"/>
    </xf>
    <xf numFmtId="0" fontId="11" fillId="16" borderId="57" xfId="0" applyFont="1" applyFill="1" applyBorder="1" applyAlignment="1" applyProtection="1">
      <alignment horizontal="center"/>
      <protection locked="0"/>
    </xf>
    <xf numFmtId="0" fontId="11" fillId="17" borderId="57" xfId="0" applyFont="1" applyFill="1" applyBorder="1" applyAlignment="1" applyProtection="1">
      <alignment horizontal="center"/>
      <protection locked="0"/>
    </xf>
    <xf numFmtId="0" fontId="11" fillId="7" borderId="61" xfId="0" applyFont="1" applyFill="1" applyBorder="1" applyAlignment="1" applyProtection="1">
      <alignment horizontal="center"/>
      <protection locked="0"/>
    </xf>
    <xf numFmtId="0" fontId="6" fillId="0" borderId="6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1" fillId="0" borderId="63" xfId="0" applyNumberFormat="1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11" fillId="0" borderId="50" xfId="0" applyFont="1" applyBorder="1" applyAlignment="1" applyProtection="1">
      <alignment horizontal="center"/>
      <protection locked="0"/>
    </xf>
    <xf numFmtId="0" fontId="11" fillId="0" borderId="65" xfId="0" applyFont="1" applyBorder="1" applyAlignment="1">
      <alignment horizontal="center"/>
    </xf>
    <xf numFmtId="0" fontId="49" fillId="0" borderId="10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164" fontId="11" fillId="0" borderId="66" xfId="0" applyNumberFormat="1" applyFont="1" applyBorder="1" applyAlignment="1">
      <alignment horizontal="center"/>
    </xf>
    <xf numFmtId="0" fontId="11" fillId="0" borderId="65" xfId="0" applyFont="1" applyBorder="1" applyAlignment="1" applyProtection="1">
      <alignment horizontal="center"/>
      <protection locked="0"/>
    </xf>
    <xf numFmtId="0" fontId="30" fillId="26" borderId="26" xfId="0" applyFont="1" applyFill="1" applyBorder="1" applyAlignment="1" applyProtection="1">
      <alignment horizontal="center"/>
      <protection locked="0"/>
    </xf>
    <xf numFmtId="0" fontId="11" fillId="6" borderId="26" xfId="0" applyFont="1" applyFill="1" applyBorder="1" applyAlignment="1" applyProtection="1">
      <alignment horizontal="center"/>
      <protection locked="0"/>
    </xf>
    <xf numFmtId="0" fontId="11" fillId="5" borderId="26" xfId="0" applyFont="1" applyFill="1" applyBorder="1" applyAlignment="1" applyProtection="1">
      <alignment horizontal="center"/>
      <protection locked="0"/>
    </xf>
    <xf numFmtId="0" fontId="11" fillId="7" borderId="26" xfId="0" applyFont="1" applyFill="1" applyBorder="1" applyAlignment="1" applyProtection="1">
      <alignment horizontal="center"/>
      <protection locked="0"/>
    </xf>
    <xf numFmtId="0" fontId="11" fillId="8" borderId="26" xfId="0" applyFont="1" applyFill="1" applyBorder="1" applyAlignment="1" applyProtection="1">
      <alignment horizontal="center"/>
      <protection locked="0"/>
    </xf>
    <xf numFmtId="0" fontId="11" fillId="9" borderId="26" xfId="0" applyFont="1" applyFill="1" applyBorder="1" applyAlignment="1" applyProtection="1">
      <alignment horizontal="center"/>
      <protection locked="0"/>
    </xf>
    <xf numFmtId="0" fontId="11" fillId="10" borderId="26" xfId="0" applyFont="1" applyFill="1" applyBorder="1" applyAlignment="1" applyProtection="1">
      <alignment horizontal="center"/>
      <protection locked="0"/>
    </xf>
    <xf numFmtId="0" fontId="11" fillId="11" borderId="26" xfId="0" applyFont="1" applyFill="1" applyBorder="1" applyAlignment="1" applyProtection="1">
      <alignment horizontal="center"/>
      <protection locked="0"/>
    </xf>
    <xf numFmtId="0" fontId="11" fillId="12" borderId="26" xfId="0" applyFont="1" applyFill="1" applyBorder="1" applyAlignment="1" applyProtection="1">
      <alignment horizontal="center"/>
      <protection locked="0"/>
    </xf>
    <xf numFmtId="0" fontId="11" fillId="13" borderId="26" xfId="0" applyFont="1" applyFill="1" applyBorder="1" applyAlignment="1" applyProtection="1">
      <alignment horizontal="center"/>
      <protection locked="0"/>
    </xf>
    <xf numFmtId="0" fontId="11" fillId="4" borderId="26" xfId="0" applyFont="1" applyFill="1" applyBorder="1" applyAlignment="1" applyProtection="1">
      <alignment horizontal="center"/>
      <protection locked="0"/>
    </xf>
    <xf numFmtId="0" fontId="11" fillId="14" borderId="67" xfId="0" applyFont="1" applyFill="1" applyBorder="1" applyAlignment="1" applyProtection="1">
      <alignment horizontal="center"/>
      <protection locked="0"/>
    </xf>
    <xf numFmtId="0" fontId="11" fillId="15" borderId="68" xfId="0" applyFont="1" applyFill="1" applyBorder="1" applyAlignment="1" applyProtection="1">
      <alignment horizontal="center"/>
      <protection locked="0"/>
    </xf>
    <xf numFmtId="0" fontId="11" fillId="16" borderId="26" xfId="0" applyFont="1" applyFill="1" applyBorder="1" applyAlignment="1" applyProtection="1">
      <alignment horizontal="center"/>
      <protection locked="0"/>
    </xf>
    <xf numFmtId="0" fontId="11" fillId="17" borderId="26" xfId="0" applyFont="1" applyFill="1" applyBorder="1" applyAlignment="1" applyProtection="1">
      <alignment horizontal="center"/>
      <protection locked="0"/>
    </xf>
    <xf numFmtId="0" fontId="11" fillId="0" borderId="56" xfId="0" applyFont="1" applyBorder="1" applyAlignment="1" applyProtection="1">
      <alignment horizontal="center"/>
      <protection locked="0"/>
    </xf>
    <xf numFmtId="0" fontId="11" fillId="0" borderId="69" xfId="0" applyFont="1" applyBorder="1" applyAlignment="1">
      <alignment horizontal="center"/>
    </xf>
    <xf numFmtId="0" fontId="11" fillId="14" borderId="6" xfId="0" applyFont="1" applyFill="1" applyBorder="1" applyAlignment="1" applyProtection="1">
      <alignment horizontal="center"/>
      <protection locked="0"/>
    </xf>
    <xf numFmtId="0" fontId="11" fillId="15" borderId="110" xfId="0" applyFont="1" applyFill="1" applyBorder="1" applyAlignment="1" applyProtection="1">
      <alignment horizontal="center"/>
      <protection locked="0"/>
    </xf>
    <xf numFmtId="0" fontId="11" fillId="7" borderId="70" xfId="0" applyFont="1" applyFill="1" applyBorder="1" applyAlignment="1" applyProtection="1">
      <alignment horizontal="center"/>
      <protection locked="0"/>
    </xf>
    <xf numFmtId="0" fontId="6" fillId="0" borderId="30" xfId="0" applyFont="1" applyBorder="1" applyAlignment="1">
      <alignment horizontal="center"/>
    </xf>
    <xf numFmtId="0" fontId="11" fillId="0" borderId="25" xfId="0" applyFont="1" applyBorder="1" applyAlignment="1" applyProtection="1">
      <alignment horizontal="center"/>
      <protection locked="0"/>
    </xf>
    <xf numFmtId="0" fontId="11" fillId="7" borderId="71" xfId="0" applyFont="1" applyFill="1" applyBorder="1" applyAlignment="1" applyProtection="1">
      <alignment horizontal="center"/>
      <protection locked="0"/>
    </xf>
    <xf numFmtId="0" fontId="11" fillId="0" borderId="194" xfId="0" applyFont="1" applyBorder="1" applyAlignment="1">
      <alignment horizontal="center"/>
    </xf>
    <xf numFmtId="0" fontId="11" fillId="0" borderId="95" xfId="0" applyFont="1" applyBorder="1" applyAlignment="1">
      <alignment horizontal="center"/>
    </xf>
    <xf numFmtId="0" fontId="49" fillId="0" borderId="195" xfId="0" applyFont="1" applyBorder="1" applyAlignment="1">
      <alignment horizontal="center"/>
    </xf>
    <xf numFmtId="0" fontId="11" fillId="0" borderId="196" xfId="0" applyFont="1" applyBorder="1" applyAlignment="1">
      <alignment horizontal="center"/>
    </xf>
    <xf numFmtId="164" fontId="11" fillId="0" borderId="75" xfId="0" applyNumberFormat="1" applyFont="1" applyBorder="1" applyAlignment="1">
      <alignment horizontal="center"/>
    </xf>
    <xf numFmtId="0" fontId="11" fillId="0" borderId="195" xfId="0" applyFont="1" applyBorder="1" applyAlignment="1" applyProtection="1">
      <alignment horizontal="center"/>
      <protection locked="0"/>
    </xf>
    <xf numFmtId="0" fontId="30" fillId="26" borderId="196" xfId="0" applyFont="1" applyFill="1" applyBorder="1" applyAlignment="1" applyProtection="1">
      <alignment horizontal="center"/>
      <protection locked="0"/>
    </xf>
    <xf numFmtId="0" fontId="11" fillId="6" borderId="196" xfId="0" applyFont="1" applyFill="1" applyBorder="1" applyAlignment="1" applyProtection="1">
      <alignment horizontal="center"/>
      <protection locked="0"/>
    </xf>
    <xf numFmtId="0" fontId="11" fillId="5" borderId="196" xfId="0" applyFont="1" applyFill="1" applyBorder="1" applyAlignment="1" applyProtection="1">
      <alignment horizontal="center"/>
      <protection locked="0"/>
    </xf>
    <xf numFmtId="0" fontId="11" fillId="7" borderId="196" xfId="0" applyFont="1" applyFill="1" applyBorder="1" applyAlignment="1" applyProtection="1">
      <alignment horizontal="center"/>
      <protection locked="0"/>
    </xf>
    <xf numFmtId="0" fontId="11" fillId="8" borderId="196" xfId="0" applyFont="1" applyFill="1" applyBorder="1" applyAlignment="1" applyProtection="1">
      <alignment horizontal="center"/>
      <protection locked="0"/>
    </xf>
    <xf numFmtId="0" fontId="11" fillId="9" borderId="196" xfId="0" applyFont="1" applyFill="1" applyBorder="1" applyAlignment="1" applyProtection="1">
      <alignment horizontal="center"/>
      <protection locked="0"/>
    </xf>
    <xf numFmtId="0" fontId="11" fillId="10" borderId="196" xfId="0" applyFont="1" applyFill="1" applyBorder="1" applyAlignment="1" applyProtection="1">
      <alignment horizontal="center"/>
      <protection locked="0"/>
    </xf>
    <xf numFmtId="0" fontId="11" fillId="11" borderId="196" xfId="0" applyFont="1" applyFill="1" applyBorder="1" applyAlignment="1" applyProtection="1">
      <alignment horizontal="center"/>
      <protection locked="0"/>
    </xf>
    <xf numFmtId="0" fontId="11" fillId="12" borderId="196" xfId="0" applyFont="1" applyFill="1" applyBorder="1" applyAlignment="1" applyProtection="1">
      <alignment horizontal="center"/>
      <protection locked="0"/>
    </xf>
    <xf numFmtId="0" fontId="11" fillId="13" borderId="196" xfId="0" applyFont="1" applyFill="1" applyBorder="1" applyAlignment="1" applyProtection="1">
      <alignment horizontal="center"/>
      <protection locked="0"/>
    </xf>
    <xf numFmtId="0" fontId="11" fillId="4" borderId="196" xfId="0" applyFont="1" applyFill="1" applyBorder="1" applyAlignment="1" applyProtection="1">
      <alignment horizontal="center"/>
      <protection locked="0"/>
    </xf>
    <xf numFmtId="0" fontId="11" fillId="14" borderId="95" xfId="0" applyFont="1" applyFill="1" applyBorder="1" applyAlignment="1" applyProtection="1">
      <alignment horizontal="center"/>
      <protection locked="0"/>
    </xf>
    <xf numFmtId="0" fontId="11" fillId="15" borderId="197" xfId="0" applyFont="1" applyFill="1" applyBorder="1" applyAlignment="1" applyProtection="1">
      <alignment horizontal="center"/>
      <protection locked="0"/>
    </xf>
    <xf numFmtId="0" fontId="11" fillId="16" borderId="196" xfId="0" applyFont="1" applyFill="1" applyBorder="1" applyAlignment="1" applyProtection="1">
      <alignment horizontal="center"/>
      <protection locked="0"/>
    </xf>
    <xf numFmtId="0" fontId="11" fillId="17" borderId="196" xfId="0" applyFont="1" applyFill="1" applyBorder="1" applyAlignment="1" applyProtection="1">
      <alignment horizontal="center"/>
      <protection locked="0"/>
    </xf>
    <xf numFmtId="0" fontId="11" fillId="7" borderId="198" xfId="0" applyFont="1" applyFill="1" applyBorder="1" applyAlignment="1" applyProtection="1">
      <alignment horizontal="center"/>
      <protection locked="0"/>
    </xf>
    <xf numFmtId="0" fontId="6" fillId="0" borderId="94" xfId="0" applyFont="1" applyBorder="1" applyAlignment="1">
      <alignment horizontal="center"/>
    </xf>
    <xf numFmtId="164" fontId="6" fillId="0" borderId="127" xfId="0" applyNumberFormat="1" applyFont="1" applyBorder="1" applyAlignment="1">
      <alignment horizontal="center"/>
    </xf>
    <xf numFmtId="0" fontId="8" fillId="4" borderId="26" xfId="0" applyFont="1" applyFill="1" applyBorder="1" applyAlignment="1">
      <alignment horizontal="center" vertical="center"/>
    </xf>
    <xf numFmtId="164" fontId="8" fillId="4" borderId="26" xfId="0" applyNumberFormat="1" applyFont="1" applyFill="1" applyBorder="1" applyAlignment="1">
      <alignment horizontal="center" vertical="center"/>
    </xf>
    <xf numFmtId="164" fontId="11" fillId="0" borderId="74" xfId="0" applyNumberFormat="1" applyFont="1" applyBorder="1" applyAlignment="1">
      <alignment horizontal="center"/>
    </xf>
    <xf numFmtId="0" fontId="11" fillId="14" borderId="47" xfId="0" applyFont="1" applyFill="1" applyBorder="1" applyAlignment="1" applyProtection="1">
      <alignment horizontal="center"/>
      <protection locked="0"/>
    </xf>
    <xf numFmtId="0" fontId="11" fillId="14" borderId="71" xfId="0" applyFont="1" applyFill="1" applyBorder="1" applyAlignment="1" applyProtection="1">
      <alignment horizontal="center"/>
      <protection locked="0"/>
    </xf>
    <xf numFmtId="0" fontId="11" fillId="14" borderId="61" xfId="0" applyFont="1" applyFill="1" applyBorder="1" applyAlignment="1" applyProtection="1">
      <alignment horizontal="center"/>
      <protection locked="0"/>
    </xf>
    <xf numFmtId="0" fontId="11" fillId="14" borderId="55" xfId="0" applyFont="1" applyFill="1" applyBorder="1" applyAlignment="1" applyProtection="1">
      <alignment horizontal="center"/>
      <protection locked="0"/>
    </xf>
    <xf numFmtId="0" fontId="11" fillId="0" borderId="76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0" fontId="49" fillId="0" borderId="107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164" fontId="11" fillId="0" borderId="78" xfId="0" applyNumberFormat="1" applyFont="1" applyBorder="1" applyAlignment="1">
      <alignment horizontal="center"/>
    </xf>
    <xf numFmtId="0" fontId="11" fillId="0" borderId="79" xfId="0" applyFont="1" applyBorder="1" applyAlignment="1" applyProtection="1">
      <alignment horizontal="center"/>
      <protection locked="0"/>
    </xf>
    <xf numFmtId="0" fontId="30" fillId="26" borderId="80" xfId="0" applyFont="1" applyFill="1" applyBorder="1" applyAlignment="1" applyProtection="1">
      <alignment horizontal="center"/>
      <protection locked="0"/>
    </xf>
    <xf numFmtId="0" fontId="11" fillId="6" borderId="80" xfId="0" applyFont="1" applyFill="1" applyBorder="1" applyAlignment="1" applyProtection="1">
      <alignment horizontal="center"/>
      <protection locked="0"/>
    </xf>
    <xf numFmtId="0" fontId="11" fillId="5" borderId="80" xfId="0" applyFont="1" applyFill="1" applyBorder="1" applyAlignment="1" applyProtection="1">
      <alignment horizontal="center"/>
      <protection locked="0"/>
    </xf>
    <xf numFmtId="0" fontId="11" fillId="7" borderId="80" xfId="0" applyFont="1" applyFill="1" applyBorder="1" applyAlignment="1" applyProtection="1">
      <alignment horizontal="center"/>
      <protection locked="0"/>
    </xf>
    <xf numFmtId="0" fontId="11" fillId="8" borderId="80" xfId="0" applyFont="1" applyFill="1" applyBorder="1" applyAlignment="1" applyProtection="1">
      <alignment horizontal="center"/>
      <protection locked="0"/>
    </xf>
    <xf numFmtId="0" fontId="11" fillId="9" borderId="80" xfId="0" applyFont="1" applyFill="1" applyBorder="1" applyAlignment="1" applyProtection="1">
      <alignment horizontal="center"/>
      <protection locked="0"/>
    </xf>
    <xf numFmtId="0" fontId="11" fillId="10" borderId="80" xfId="0" applyFont="1" applyFill="1" applyBorder="1" applyAlignment="1" applyProtection="1">
      <alignment horizontal="center"/>
      <protection locked="0"/>
    </xf>
    <xf numFmtId="0" fontId="11" fillId="11" borderId="80" xfId="0" applyFont="1" applyFill="1" applyBorder="1" applyAlignment="1" applyProtection="1">
      <alignment horizontal="center"/>
      <protection locked="0"/>
    </xf>
    <xf numFmtId="0" fontId="11" fillId="12" borderId="80" xfId="0" applyFont="1" applyFill="1" applyBorder="1" applyAlignment="1" applyProtection="1">
      <alignment horizontal="center"/>
      <protection locked="0"/>
    </xf>
    <xf numFmtId="0" fontId="11" fillId="13" borderId="80" xfId="0" applyFont="1" applyFill="1" applyBorder="1" applyAlignment="1" applyProtection="1">
      <alignment horizontal="center"/>
      <protection locked="0"/>
    </xf>
    <xf numFmtId="0" fontId="11" fillId="4" borderId="80" xfId="0" applyFont="1" applyFill="1" applyBorder="1" applyAlignment="1" applyProtection="1">
      <alignment horizontal="center"/>
      <protection locked="0"/>
    </xf>
    <xf numFmtId="0" fontId="11" fillId="14" borderId="81" xfId="0" applyFont="1" applyFill="1" applyBorder="1" applyAlignment="1" applyProtection="1">
      <alignment horizontal="center"/>
      <protection locked="0"/>
    </xf>
    <xf numFmtId="0" fontId="11" fillId="15" borderId="82" xfId="0" applyFont="1" applyFill="1" applyBorder="1" applyAlignment="1" applyProtection="1">
      <alignment horizontal="center"/>
      <protection locked="0"/>
    </xf>
    <xf numFmtId="0" fontId="11" fillId="16" borderId="80" xfId="0" applyFont="1" applyFill="1" applyBorder="1" applyAlignment="1" applyProtection="1">
      <alignment horizontal="center"/>
      <protection locked="0"/>
    </xf>
    <xf numFmtId="0" fontId="11" fillId="17" borderId="80" xfId="0" applyFont="1" applyFill="1" applyBorder="1" applyAlignment="1" applyProtection="1">
      <alignment horizontal="center"/>
      <protection locked="0"/>
    </xf>
    <xf numFmtId="0" fontId="6" fillId="0" borderId="83" xfId="0" applyFont="1" applyBorder="1" applyAlignment="1">
      <alignment horizontal="center"/>
    </xf>
    <xf numFmtId="0" fontId="11" fillId="0" borderId="84" xfId="0" applyFont="1" applyBorder="1" applyAlignment="1">
      <alignment horizontal="center"/>
    </xf>
    <xf numFmtId="0" fontId="11" fillId="0" borderId="103" xfId="0" applyFont="1" applyBorder="1" applyAlignment="1">
      <alignment horizontal="center"/>
    </xf>
    <xf numFmtId="0" fontId="49" fillId="0" borderId="87" xfId="0" applyFont="1" applyBorder="1" applyAlignment="1">
      <alignment horizontal="center"/>
    </xf>
    <xf numFmtId="0" fontId="11" fillId="0" borderId="85" xfId="0" applyFont="1" applyBorder="1" applyAlignment="1">
      <alignment horizontal="center"/>
    </xf>
    <xf numFmtId="164" fontId="11" fillId="0" borderId="86" xfId="0" applyNumberFormat="1" applyFont="1" applyBorder="1" applyAlignment="1">
      <alignment horizontal="center"/>
    </xf>
    <xf numFmtId="0" fontId="11" fillId="0" borderId="87" xfId="0" applyFont="1" applyBorder="1" applyAlignment="1" applyProtection="1">
      <alignment horizontal="center"/>
      <protection locked="0"/>
    </xf>
    <xf numFmtId="0" fontId="30" fillId="26" borderId="85" xfId="0" applyFont="1" applyFill="1" applyBorder="1" applyAlignment="1" applyProtection="1">
      <alignment horizontal="center"/>
      <protection locked="0"/>
    </xf>
    <xf numFmtId="0" fontId="11" fillId="6" borderId="85" xfId="0" applyFont="1" applyFill="1" applyBorder="1" applyAlignment="1" applyProtection="1">
      <alignment horizontal="center"/>
      <protection locked="0"/>
    </xf>
    <xf numFmtId="0" fontId="11" fillId="5" borderId="85" xfId="0" applyFont="1" applyFill="1" applyBorder="1" applyAlignment="1" applyProtection="1">
      <alignment horizontal="center"/>
      <protection locked="0"/>
    </xf>
    <xf numFmtId="0" fontId="11" fillId="7" borderId="85" xfId="0" applyFont="1" applyFill="1" applyBorder="1" applyAlignment="1" applyProtection="1">
      <alignment horizontal="center"/>
      <protection locked="0"/>
    </xf>
    <xf numFmtId="0" fontId="11" fillId="8" borderId="85" xfId="0" applyFont="1" applyFill="1" applyBorder="1" applyAlignment="1" applyProtection="1">
      <alignment horizontal="center"/>
      <protection locked="0"/>
    </xf>
    <xf numFmtId="0" fontId="11" fillId="9" borderId="85" xfId="0" applyFont="1" applyFill="1" applyBorder="1" applyAlignment="1" applyProtection="1">
      <alignment horizontal="center"/>
      <protection locked="0"/>
    </xf>
    <xf numFmtId="0" fontId="11" fillId="10" borderId="85" xfId="0" applyFont="1" applyFill="1" applyBorder="1" applyAlignment="1" applyProtection="1">
      <alignment horizontal="center"/>
      <protection locked="0"/>
    </xf>
    <xf numFmtId="0" fontId="11" fillId="11" borderId="85" xfId="0" applyFont="1" applyFill="1" applyBorder="1" applyAlignment="1" applyProtection="1">
      <alignment horizontal="center"/>
      <protection locked="0"/>
    </xf>
    <xf numFmtId="0" fontId="11" fillId="12" borderId="85" xfId="0" applyFont="1" applyFill="1" applyBorder="1" applyAlignment="1" applyProtection="1">
      <alignment horizontal="center"/>
      <protection locked="0"/>
    </xf>
    <xf numFmtId="0" fontId="11" fillId="13" borderId="85" xfId="0" applyFont="1" applyFill="1" applyBorder="1" applyAlignment="1" applyProtection="1">
      <alignment horizontal="center"/>
      <protection locked="0"/>
    </xf>
    <xf numFmtId="0" fontId="11" fillId="4" borderId="85" xfId="0" applyFont="1" applyFill="1" applyBorder="1" applyAlignment="1" applyProtection="1">
      <alignment horizontal="center"/>
      <protection locked="0"/>
    </xf>
    <xf numFmtId="0" fontId="11" fillId="14" borderId="88" xfId="0" applyFont="1" applyFill="1" applyBorder="1" applyAlignment="1" applyProtection="1">
      <alignment horizontal="center"/>
      <protection locked="0"/>
    </xf>
    <xf numFmtId="0" fontId="11" fillId="15" borderId="89" xfId="0" applyFont="1" applyFill="1" applyBorder="1" applyAlignment="1" applyProtection="1">
      <alignment horizontal="center"/>
      <protection locked="0"/>
    </xf>
    <xf numFmtId="0" fontId="11" fillId="16" borderId="85" xfId="0" applyFont="1" applyFill="1" applyBorder="1" applyAlignment="1" applyProtection="1">
      <alignment horizontal="center"/>
      <protection locked="0"/>
    </xf>
    <xf numFmtId="0" fontId="11" fillId="17" borderId="85" xfId="0" applyFont="1" applyFill="1" applyBorder="1" applyAlignment="1" applyProtection="1">
      <alignment horizontal="center"/>
      <protection locked="0"/>
    </xf>
    <xf numFmtId="0" fontId="11" fillId="7" borderId="88" xfId="0" applyFont="1" applyFill="1" applyBorder="1" applyAlignment="1" applyProtection="1">
      <alignment horizontal="center"/>
      <protection locked="0"/>
    </xf>
    <xf numFmtId="164" fontId="6" fillId="0" borderId="90" xfId="0" applyNumberFormat="1" applyFont="1" applyBorder="1" applyAlignment="1">
      <alignment horizontal="center"/>
    </xf>
    <xf numFmtId="0" fontId="6" fillId="0" borderId="247" xfId="0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248" xfId="0" applyFont="1" applyBorder="1" applyAlignment="1">
      <alignment horizontal="center"/>
    </xf>
    <xf numFmtId="164" fontId="6" fillId="0" borderId="244" xfId="0" applyNumberFormat="1" applyFont="1" applyBorder="1" applyAlignment="1">
      <alignment horizontal="center"/>
    </xf>
    <xf numFmtId="0" fontId="11" fillId="0" borderId="100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6" fillId="0" borderId="243" xfId="0" applyFont="1" applyBorder="1" applyAlignment="1">
      <alignment horizontal="center"/>
    </xf>
    <xf numFmtId="164" fontId="6" fillId="0" borderId="245" xfId="0" applyNumberFormat="1" applyFont="1" applyBorder="1" applyAlignment="1">
      <alignment horizontal="center"/>
    </xf>
    <xf numFmtId="0" fontId="6" fillId="0" borderId="246" xfId="0" applyFont="1" applyBorder="1" applyAlignment="1">
      <alignment horizontal="center"/>
    </xf>
    <xf numFmtId="164" fontId="6" fillId="0" borderId="210" xfId="0" applyNumberFormat="1" applyFont="1" applyBorder="1" applyAlignment="1">
      <alignment horizontal="center"/>
    </xf>
    <xf numFmtId="0" fontId="49" fillId="0" borderId="106" xfId="0" applyFont="1" applyBorder="1" applyAlignment="1">
      <alignment horizontal="center" vertical="center"/>
    </xf>
    <xf numFmtId="0" fontId="11" fillId="64" borderId="43" xfId="0" applyFont="1" applyFill="1" applyBorder="1" applyAlignment="1" applyProtection="1">
      <alignment horizontal="center"/>
      <protection locked="0"/>
    </xf>
    <xf numFmtId="0" fontId="11" fillId="53" borderId="43" xfId="0" applyFont="1" applyFill="1" applyBorder="1" applyAlignment="1">
      <alignment horizontal="center"/>
    </xf>
    <xf numFmtId="0" fontId="11" fillId="54" borderId="43" xfId="0" applyFont="1" applyFill="1" applyBorder="1" applyAlignment="1">
      <alignment horizontal="center"/>
    </xf>
    <xf numFmtId="0" fontId="11" fillId="55" borderId="43" xfId="0" applyFont="1" applyFill="1" applyBorder="1" applyAlignment="1">
      <alignment horizontal="center"/>
    </xf>
    <xf numFmtId="0" fontId="11" fillId="65" borderId="43" xfId="0" applyFont="1" applyFill="1" applyBorder="1" applyAlignment="1">
      <alignment horizontal="center"/>
    </xf>
    <xf numFmtId="0" fontId="11" fillId="56" borderId="43" xfId="0" applyFont="1" applyFill="1" applyBorder="1" applyAlignment="1">
      <alignment horizontal="center"/>
    </xf>
    <xf numFmtId="0" fontId="11" fillId="57" borderId="45" xfId="0" applyFont="1" applyFill="1" applyBorder="1" applyAlignment="1">
      <alignment horizontal="center"/>
    </xf>
    <xf numFmtId="0" fontId="11" fillId="58" borderId="46" xfId="0" applyFont="1" applyFill="1" applyBorder="1" applyAlignment="1">
      <alignment horizontal="center"/>
    </xf>
    <xf numFmtId="0" fontId="11" fillId="59" borderId="43" xfId="0" applyFont="1" applyFill="1" applyBorder="1" applyAlignment="1">
      <alignment horizontal="center"/>
    </xf>
    <xf numFmtId="0" fontId="11" fillId="60" borderId="43" xfId="0" applyFont="1" applyFill="1" applyBorder="1" applyAlignment="1">
      <alignment horizontal="center"/>
    </xf>
    <xf numFmtId="0" fontId="11" fillId="61" borderId="47" xfId="0" applyFont="1" applyFill="1" applyBorder="1" applyAlignment="1">
      <alignment horizontal="center"/>
    </xf>
    <xf numFmtId="0" fontId="11" fillId="0" borderId="109" xfId="0" applyFont="1" applyBorder="1" applyAlignment="1">
      <alignment horizontal="center"/>
    </xf>
    <xf numFmtId="0" fontId="49" fillId="0" borderId="120" xfId="0" applyFont="1" applyBorder="1" applyAlignment="1">
      <alignment horizontal="center" vertical="center"/>
    </xf>
    <xf numFmtId="0" fontId="11" fillId="64" borderId="53" xfId="0" applyFont="1" applyFill="1" applyBorder="1" applyAlignment="1" applyProtection="1">
      <alignment horizontal="center"/>
      <protection locked="0"/>
    </xf>
    <xf numFmtId="0" fontId="11" fillId="53" borderId="53" xfId="0" applyFont="1" applyFill="1" applyBorder="1" applyAlignment="1">
      <alignment horizontal="center"/>
    </xf>
    <xf numFmtId="0" fontId="11" fillId="54" borderId="53" xfId="0" applyFont="1" applyFill="1" applyBorder="1" applyAlignment="1">
      <alignment horizontal="center"/>
    </xf>
    <xf numFmtId="0" fontId="11" fillId="55" borderId="53" xfId="0" applyFont="1" applyFill="1" applyBorder="1" applyAlignment="1">
      <alignment horizontal="center"/>
    </xf>
    <xf numFmtId="0" fontId="11" fillId="65" borderId="53" xfId="0" applyFont="1" applyFill="1" applyBorder="1" applyAlignment="1">
      <alignment horizontal="center"/>
    </xf>
    <xf numFmtId="0" fontId="11" fillId="56" borderId="53" xfId="0" applyFont="1" applyFill="1" applyBorder="1" applyAlignment="1">
      <alignment horizontal="center"/>
    </xf>
    <xf numFmtId="0" fontId="11" fillId="57" borderId="5" xfId="0" applyFont="1" applyFill="1" applyBorder="1" applyAlignment="1">
      <alignment horizontal="center"/>
    </xf>
    <xf numFmtId="0" fontId="11" fillId="58" borderId="54" xfId="0" applyFont="1" applyFill="1" applyBorder="1" applyAlignment="1">
      <alignment horizontal="center"/>
    </xf>
    <xf numFmtId="0" fontId="11" fillId="59" borderId="53" xfId="0" applyFont="1" applyFill="1" applyBorder="1" applyAlignment="1">
      <alignment horizontal="center"/>
    </xf>
    <xf numFmtId="0" fontId="11" fillId="60" borderId="53" xfId="0" applyFont="1" applyFill="1" applyBorder="1" applyAlignment="1">
      <alignment horizontal="center"/>
    </xf>
    <xf numFmtId="0" fontId="11" fillId="61" borderId="55" xfId="0" applyFont="1" applyFill="1" applyBorder="1" applyAlignment="1">
      <alignment horizontal="center"/>
    </xf>
    <xf numFmtId="0" fontId="49" fillId="0" borderId="38" xfId="0" applyFont="1" applyBorder="1" applyAlignment="1">
      <alignment horizontal="center" vertical="center"/>
    </xf>
    <xf numFmtId="0" fontId="11" fillId="64" borderId="57" xfId="0" applyFont="1" applyFill="1" applyBorder="1" applyAlignment="1" applyProtection="1">
      <alignment horizontal="center"/>
      <protection locked="0"/>
    </xf>
    <xf numFmtId="0" fontId="11" fillId="53" borderId="57" xfId="0" applyFont="1" applyFill="1" applyBorder="1" applyAlignment="1">
      <alignment horizontal="center"/>
    </xf>
    <xf numFmtId="0" fontId="11" fillId="54" borderId="57" xfId="0" applyFont="1" applyFill="1" applyBorder="1" applyAlignment="1">
      <alignment horizontal="center"/>
    </xf>
    <xf numFmtId="0" fontId="11" fillId="55" borderId="57" xfId="0" applyFont="1" applyFill="1" applyBorder="1" applyAlignment="1">
      <alignment horizontal="center"/>
    </xf>
    <xf numFmtId="0" fontId="11" fillId="65" borderId="57" xfId="0" applyFont="1" applyFill="1" applyBorder="1" applyAlignment="1">
      <alignment horizontal="center"/>
    </xf>
    <xf numFmtId="0" fontId="11" fillId="56" borderId="57" xfId="0" applyFont="1" applyFill="1" applyBorder="1" applyAlignment="1">
      <alignment horizontal="center"/>
    </xf>
    <xf numFmtId="0" fontId="11" fillId="57" borderId="59" xfId="0" applyFont="1" applyFill="1" applyBorder="1" applyAlignment="1">
      <alignment horizontal="center"/>
    </xf>
    <xf numFmtId="0" fontId="11" fillId="58" borderId="60" xfId="0" applyFont="1" applyFill="1" applyBorder="1" applyAlignment="1">
      <alignment horizontal="center"/>
    </xf>
    <xf numFmtId="0" fontId="11" fillId="59" borderId="57" xfId="0" applyFont="1" applyFill="1" applyBorder="1" applyAlignment="1">
      <alignment horizontal="center"/>
    </xf>
    <xf numFmtId="0" fontId="11" fillId="60" borderId="57" xfId="0" applyFont="1" applyFill="1" applyBorder="1" applyAlignment="1">
      <alignment horizontal="center"/>
    </xf>
    <xf numFmtId="0" fontId="11" fillId="61" borderId="61" xfId="0" applyFont="1" applyFill="1" applyBorder="1" applyAlignment="1">
      <alignment horizontal="center"/>
    </xf>
    <xf numFmtId="0" fontId="11" fillId="0" borderId="200" xfId="0" applyFont="1" applyBorder="1" applyAlignment="1">
      <alignment horizontal="center"/>
    </xf>
    <xf numFmtId="0" fontId="49" fillId="0" borderId="7" xfId="0" applyFont="1" applyBorder="1" applyAlignment="1">
      <alignment horizontal="center" vertical="center"/>
    </xf>
    <xf numFmtId="0" fontId="11" fillId="61" borderId="53" xfId="0" applyFont="1" applyFill="1" applyBorder="1" applyAlignment="1">
      <alignment horizontal="center"/>
    </xf>
    <xf numFmtId="0" fontId="49" fillId="0" borderId="105" xfId="0" applyFont="1" applyBorder="1" applyAlignment="1">
      <alignment horizontal="center" vertical="center"/>
    </xf>
    <xf numFmtId="0" fontId="11" fillId="64" borderId="26" xfId="0" applyFont="1" applyFill="1" applyBorder="1" applyAlignment="1" applyProtection="1">
      <alignment horizontal="center"/>
      <protection locked="0"/>
    </xf>
    <xf numFmtId="0" fontId="11" fillId="53" borderId="26" xfId="0" applyFont="1" applyFill="1" applyBorder="1" applyAlignment="1">
      <alignment horizontal="center"/>
    </xf>
    <xf numFmtId="0" fontId="11" fillId="54" borderId="26" xfId="0" applyFont="1" applyFill="1" applyBorder="1" applyAlignment="1">
      <alignment horizontal="center"/>
    </xf>
    <xf numFmtId="0" fontId="11" fillId="55" borderId="26" xfId="0" applyFont="1" applyFill="1" applyBorder="1" applyAlignment="1">
      <alignment horizontal="center"/>
    </xf>
    <xf numFmtId="0" fontId="11" fillId="65" borderId="26" xfId="0" applyFont="1" applyFill="1" applyBorder="1" applyAlignment="1">
      <alignment horizontal="center"/>
    </xf>
    <xf numFmtId="0" fontId="11" fillId="56" borderId="26" xfId="0" applyFont="1" applyFill="1" applyBorder="1" applyAlignment="1">
      <alignment horizontal="center"/>
    </xf>
    <xf numFmtId="0" fontId="11" fillId="57" borderId="67" xfId="0" applyFont="1" applyFill="1" applyBorder="1" applyAlignment="1">
      <alignment horizontal="center"/>
    </xf>
    <xf numFmtId="0" fontId="11" fillId="58" borderId="68" xfId="0" applyFont="1" applyFill="1" applyBorder="1" applyAlignment="1">
      <alignment horizontal="center"/>
    </xf>
    <xf numFmtId="0" fontId="11" fillId="59" borderId="26" xfId="0" applyFont="1" applyFill="1" applyBorder="1" applyAlignment="1">
      <alignment horizontal="center"/>
    </xf>
    <xf numFmtId="0" fontId="11" fillId="60" borderId="26" xfId="0" applyFont="1" applyFill="1" applyBorder="1" applyAlignment="1">
      <alignment horizontal="center"/>
    </xf>
    <xf numFmtId="0" fontId="11" fillId="61" borderId="26" xfId="0" applyFont="1" applyFill="1" applyBorder="1" applyAlignment="1">
      <alignment horizontal="center"/>
    </xf>
    <xf numFmtId="0" fontId="11" fillId="57" borderId="6" xfId="0" applyFont="1" applyFill="1" applyBorder="1" applyAlignment="1">
      <alignment horizontal="center"/>
    </xf>
    <xf numFmtId="0" fontId="11" fillId="58" borderId="110" xfId="0" applyFont="1" applyFill="1" applyBorder="1" applyAlignment="1">
      <alignment horizontal="center"/>
    </xf>
    <xf numFmtId="0" fontId="11" fillId="61" borderId="70" xfId="0" applyFont="1" applyFill="1" applyBorder="1" applyAlignment="1">
      <alignment horizontal="center"/>
    </xf>
    <xf numFmtId="0" fontId="11" fillId="61" borderId="71" xfId="0" applyFont="1" applyFill="1" applyBorder="1" applyAlignment="1">
      <alignment horizontal="center"/>
    </xf>
    <xf numFmtId="0" fontId="11" fillId="57" borderId="55" xfId="0" applyFont="1" applyFill="1" applyBorder="1" applyAlignment="1">
      <alignment horizontal="center"/>
    </xf>
    <xf numFmtId="0" fontId="11" fillId="57" borderId="71" xfId="0" applyFont="1" applyFill="1" applyBorder="1" applyAlignment="1">
      <alignment horizontal="center"/>
    </xf>
    <xf numFmtId="0" fontId="11" fillId="0" borderId="115" xfId="0" applyFont="1" applyBorder="1" applyAlignment="1">
      <alignment horizontal="center"/>
    </xf>
    <xf numFmtId="0" fontId="11" fillId="0" borderId="116" xfId="0" applyFont="1" applyBorder="1" applyAlignment="1">
      <alignment horizontal="center"/>
    </xf>
    <xf numFmtId="0" fontId="49" fillId="0" borderId="117" xfId="0" applyFont="1" applyBorder="1" applyAlignment="1">
      <alignment horizontal="center" vertical="center"/>
    </xf>
    <xf numFmtId="0" fontId="11" fillId="57" borderId="61" xfId="0" applyFont="1" applyFill="1" applyBorder="1" applyAlignment="1">
      <alignment horizontal="center"/>
    </xf>
    <xf numFmtId="0" fontId="49" fillId="0" borderId="87" xfId="0" applyFont="1" applyBorder="1" applyAlignment="1">
      <alignment horizontal="center" vertical="center"/>
    </xf>
    <xf numFmtId="0" fontId="11" fillId="64" borderId="85" xfId="0" applyFont="1" applyFill="1" applyBorder="1" applyAlignment="1" applyProtection="1">
      <alignment horizontal="center"/>
      <protection locked="0"/>
    </xf>
    <xf numFmtId="0" fontId="11" fillId="53" borderId="85" xfId="0" applyFont="1" applyFill="1" applyBorder="1" applyAlignment="1">
      <alignment horizontal="center"/>
    </xf>
    <xf numFmtId="0" fontId="11" fillId="54" borderId="85" xfId="0" applyFont="1" applyFill="1" applyBorder="1" applyAlignment="1">
      <alignment horizontal="center"/>
    </xf>
    <xf numFmtId="0" fontId="11" fillId="55" borderId="85" xfId="0" applyFont="1" applyFill="1" applyBorder="1" applyAlignment="1">
      <alignment horizontal="center"/>
    </xf>
    <xf numFmtId="0" fontId="11" fillId="65" borderId="85" xfId="0" applyFont="1" applyFill="1" applyBorder="1" applyAlignment="1">
      <alignment horizontal="center"/>
    </xf>
    <xf numFmtId="0" fontId="11" fillId="56" borderId="85" xfId="0" applyFont="1" applyFill="1" applyBorder="1" applyAlignment="1">
      <alignment horizontal="center"/>
    </xf>
    <xf numFmtId="0" fontId="11" fillId="57" borderId="88" xfId="0" applyFont="1" applyFill="1" applyBorder="1" applyAlignment="1">
      <alignment horizontal="center"/>
    </xf>
    <xf numFmtId="0" fontId="11" fillId="58" borderId="89" xfId="0" applyFont="1" applyFill="1" applyBorder="1" applyAlignment="1">
      <alignment horizontal="center"/>
    </xf>
    <xf numFmtId="0" fontId="11" fillId="59" borderId="85" xfId="0" applyFont="1" applyFill="1" applyBorder="1" applyAlignment="1">
      <alignment horizontal="center"/>
    </xf>
    <xf numFmtId="0" fontId="11" fillId="60" borderId="85" xfId="0" applyFont="1" applyFill="1" applyBorder="1" applyAlignment="1">
      <alignment horizontal="center"/>
    </xf>
    <xf numFmtId="0" fontId="11" fillId="61" borderId="88" xfId="0" applyFont="1" applyFill="1" applyBorder="1" applyAlignment="1">
      <alignment horizontal="center"/>
    </xf>
    <xf numFmtId="0" fontId="41" fillId="0" borderId="26" xfId="0" applyFont="1" applyBorder="1"/>
    <xf numFmtId="0" fontId="8" fillId="3" borderId="26" xfId="0" applyFont="1" applyFill="1" applyBorder="1" applyAlignment="1">
      <alignment horizontal="center"/>
    </xf>
    <xf numFmtId="164" fontId="8" fillId="3" borderId="26" xfId="0" applyNumberFormat="1" applyFont="1" applyFill="1" applyBorder="1" applyAlignment="1">
      <alignment horizontal="center"/>
    </xf>
    <xf numFmtId="0" fontId="11" fillId="0" borderId="108" xfId="0" applyFont="1" applyBorder="1" applyAlignment="1">
      <alignment horizontal="center"/>
    </xf>
    <xf numFmtId="0" fontId="49" fillId="0" borderId="159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/>
    </xf>
    <xf numFmtId="0" fontId="30" fillId="25" borderId="43" xfId="0" applyFont="1" applyFill="1" applyBorder="1" applyAlignment="1" applyProtection="1">
      <alignment horizontal="center"/>
      <protection locked="0"/>
    </xf>
    <xf numFmtId="0" fontId="11" fillId="28" borderId="43" xfId="0" applyFont="1" applyFill="1" applyBorder="1" applyAlignment="1" applyProtection="1">
      <alignment horizontal="center"/>
      <protection locked="0"/>
    </xf>
    <xf numFmtId="0" fontId="11" fillId="32" borderId="43" xfId="0" applyFont="1" applyFill="1" applyBorder="1" applyAlignment="1" applyProtection="1">
      <alignment horizontal="center"/>
      <protection locked="0"/>
    </xf>
    <xf numFmtId="0" fontId="11" fillId="27" borderId="43" xfId="0" applyFont="1" applyFill="1" applyBorder="1" applyAlignment="1" applyProtection="1">
      <alignment horizontal="center"/>
      <protection locked="0"/>
    </xf>
    <xf numFmtId="0" fontId="11" fillId="31" borderId="43" xfId="0" applyFont="1" applyFill="1" applyBorder="1" applyAlignment="1" applyProtection="1">
      <alignment horizontal="center"/>
      <protection locked="0"/>
    </xf>
    <xf numFmtId="0" fontId="11" fillId="30" borderId="44" xfId="0" applyFont="1" applyFill="1" applyBorder="1" applyAlignment="1" applyProtection="1">
      <alignment horizontal="center"/>
      <protection locked="0"/>
    </xf>
    <xf numFmtId="0" fontId="6" fillId="0" borderId="112" xfId="0" applyFont="1" applyBorder="1" applyAlignment="1">
      <alignment horizontal="center"/>
    </xf>
    <xf numFmtId="0" fontId="49" fillId="0" borderId="12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30" fillId="25" borderId="53" xfId="0" applyFont="1" applyFill="1" applyBorder="1" applyAlignment="1" applyProtection="1">
      <alignment horizontal="center"/>
      <protection locked="0"/>
    </xf>
    <xf numFmtId="0" fontId="11" fillId="28" borderId="53" xfId="0" applyFont="1" applyFill="1" applyBorder="1" applyAlignment="1" applyProtection="1">
      <alignment horizontal="center"/>
      <protection locked="0"/>
    </xf>
    <xf numFmtId="0" fontId="11" fillId="32" borderId="53" xfId="0" applyFont="1" applyFill="1" applyBorder="1" applyAlignment="1" applyProtection="1">
      <alignment horizontal="center"/>
      <protection locked="0"/>
    </xf>
    <xf numFmtId="0" fontId="11" fillId="27" borderId="53" xfId="0" applyFont="1" applyFill="1" applyBorder="1" applyAlignment="1" applyProtection="1">
      <alignment horizontal="center"/>
      <protection locked="0"/>
    </xf>
    <xf numFmtId="0" fontId="11" fillId="31" borderId="53" xfId="0" applyFont="1" applyFill="1" applyBorder="1" applyAlignment="1" applyProtection="1">
      <alignment horizontal="center"/>
      <protection locked="0"/>
    </xf>
    <xf numFmtId="0" fontId="11" fillId="30" borderId="101" xfId="0" applyFont="1" applyFill="1" applyBorder="1" applyAlignment="1" applyProtection="1">
      <alignment horizontal="center"/>
      <protection locked="0"/>
    </xf>
    <xf numFmtId="0" fontId="49" fillId="0" borderId="18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/>
    </xf>
    <xf numFmtId="0" fontId="30" fillId="25" borderId="57" xfId="0" applyFont="1" applyFill="1" applyBorder="1" applyAlignment="1" applyProtection="1">
      <alignment horizontal="center"/>
      <protection locked="0"/>
    </xf>
    <xf numFmtId="0" fontId="11" fillId="28" borderId="57" xfId="0" applyFont="1" applyFill="1" applyBorder="1" applyAlignment="1" applyProtection="1">
      <alignment horizontal="center"/>
      <protection locked="0"/>
    </xf>
    <xf numFmtId="0" fontId="11" fillId="32" borderId="57" xfId="0" applyFont="1" applyFill="1" applyBorder="1" applyAlignment="1" applyProtection="1">
      <alignment horizontal="center"/>
      <protection locked="0"/>
    </xf>
    <xf numFmtId="0" fontId="11" fillId="27" borderId="57" xfId="0" applyFont="1" applyFill="1" applyBorder="1" applyAlignment="1" applyProtection="1">
      <alignment horizontal="center"/>
      <protection locked="0"/>
    </xf>
    <xf numFmtId="0" fontId="11" fillId="31" borderId="57" xfId="0" applyFont="1" applyFill="1" applyBorder="1" applyAlignment="1" applyProtection="1">
      <alignment horizontal="center"/>
      <protection locked="0"/>
    </xf>
    <xf numFmtId="0" fontId="11" fillId="30" borderId="58" xfId="0" applyFont="1" applyFill="1" applyBorder="1" applyAlignment="1" applyProtection="1">
      <alignment horizontal="center"/>
      <protection locked="0"/>
    </xf>
    <xf numFmtId="0" fontId="49" fillId="0" borderId="168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/>
    </xf>
    <xf numFmtId="0" fontId="30" fillId="25" borderId="26" xfId="0" applyFont="1" applyFill="1" applyBorder="1" applyAlignment="1" applyProtection="1">
      <alignment horizontal="center"/>
      <protection locked="0"/>
    </xf>
    <xf numFmtId="0" fontId="11" fillId="28" borderId="26" xfId="0" applyFont="1" applyFill="1" applyBorder="1" applyAlignment="1" applyProtection="1">
      <alignment horizontal="center"/>
      <protection locked="0"/>
    </xf>
    <xf numFmtId="0" fontId="11" fillId="32" borderId="26" xfId="0" applyFont="1" applyFill="1" applyBorder="1" applyAlignment="1" applyProtection="1">
      <alignment horizontal="center"/>
      <protection locked="0"/>
    </xf>
    <xf numFmtId="0" fontId="11" fillId="27" borderId="26" xfId="0" applyFont="1" applyFill="1" applyBorder="1" applyAlignment="1" applyProtection="1">
      <alignment horizontal="center"/>
      <protection locked="0"/>
    </xf>
    <xf numFmtId="0" fontId="11" fillId="31" borderId="26" xfId="0" applyFont="1" applyFill="1" applyBorder="1" applyAlignment="1" applyProtection="1">
      <alignment horizontal="center"/>
      <protection locked="0"/>
    </xf>
    <xf numFmtId="0" fontId="11" fillId="30" borderId="66" xfId="0" applyFont="1" applyFill="1" applyBorder="1" applyAlignment="1" applyProtection="1">
      <alignment horizontal="center"/>
      <protection locked="0"/>
    </xf>
    <xf numFmtId="0" fontId="11" fillId="0" borderId="124" xfId="0" applyFont="1" applyBorder="1" applyAlignment="1">
      <alignment horizontal="center"/>
    </xf>
    <xf numFmtId="0" fontId="49" fillId="0" borderId="185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/>
    </xf>
    <xf numFmtId="0" fontId="11" fillId="0" borderId="125" xfId="0" applyFont="1" applyBorder="1" applyAlignment="1">
      <alignment horizontal="center"/>
    </xf>
    <xf numFmtId="164" fontId="11" fillId="0" borderId="102" xfId="0" applyNumberFormat="1" applyFont="1" applyBorder="1" applyAlignment="1">
      <alignment horizontal="center"/>
    </xf>
    <xf numFmtId="0" fontId="11" fillId="0" borderId="120" xfId="0" applyFont="1" applyBorder="1" applyAlignment="1" applyProtection="1">
      <alignment horizontal="center"/>
      <protection locked="0"/>
    </xf>
    <xf numFmtId="0" fontId="30" fillId="26" borderId="125" xfId="0" applyFont="1" applyFill="1" applyBorder="1" applyAlignment="1" applyProtection="1">
      <alignment horizontal="center"/>
      <protection locked="0"/>
    </xf>
    <xf numFmtId="0" fontId="30" fillId="25" borderId="125" xfId="0" applyFont="1" applyFill="1" applyBorder="1" applyAlignment="1" applyProtection="1">
      <alignment horizontal="center"/>
      <protection locked="0"/>
    </xf>
    <xf numFmtId="0" fontId="11" fillId="28" borderId="125" xfId="0" applyFont="1" applyFill="1" applyBorder="1" applyAlignment="1" applyProtection="1">
      <alignment horizontal="center"/>
      <protection locked="0"/>
    </xf>
    <xf numFmtId="0" fontId="11" fillId="32" borderId="125" xfId="0" applyFont="1" applyFill="1" applyBorder="1" applyAlignment="1" applyProtection="1">
      <alignment horizontal="center"/>
      <protection locked="0"/>
    </xf>
    <xf numFmtId="0" fontId="11" fillId="27" borderId="125" xfId="0" applyFont="1" applyFill="1" applyBorder="1" applyAlignment="1" applyProtection="1">
      <alignment horizontal="center"/>
      <protection locked="0"/>
    </xf>
    <xf numFmtId="0" fontId="11" fillId="9" borderId="125" xfId="0" applyFont="1" applyFill="1" applyBorder="1" applyAlignment="1" applyProtection="1">
      <alignment horizontal="center"/>
      <protection locked="0"/>
    </xf>
    <xf numFmtId="0" fontId="11" fillId="31" borderId="125" xfId="0" applyFont="1" applyFill="1" applyBorder="1" applyAlignment="1" applyProtection="1">
      <alignment horizontal="center"/>
      <protection locked="0"/>
    </xf>
    <xf numFmtId="0" fontId="11" fillId="30" borderId="102" xfId="0" applyFont="1" applyFill="1" applyBorder="1" applyAlignment="1" applyProtection="1">
      <alignment horizontal="center"/>
      <protection locked="0"/>
    </xf>
    <xf numFmtId="0" fontId="6" fillId="0" borderId="126" xfId="0" applyFont="1" applyBorder="1" applyAlignment="1">
      <alignment horizontal="center"/>
    </xf>
    <xf numFmtId="0" fontId="11" fillId="45" borderId="100" xfId="0" applyFont="1" applyFill="1" applyBorder="1" applyAlignment="1">
      <alignment horizontal="center"/>
    </xf>
    <xf numFmtId="0" fontId="11" fillId="45" borderId="109" xfId="0" applyFont="1" applyFill="1" applyBorder="1" applyAlignment="1">
      <alignment horizontal="center"/>
    </xf>
    <xf numFmtId="0" fontId="49" fillId="45" borderId="168" xfId="0" applyFont="1" applyFill="1" applyBorder="1" applyAlignment="1">
      <alignment horizontal="center" vertical="center"/>
    </xf>
    <xf numFmtId="0" fontId="11" fillId="45" borderId="7" xfId="0" applyFont="1" applyFill="1" applyBorder="1" applyAlignment="1">
      <alignment horizontal="center"/>
    </xf>
    <xf numFmtId="0" fontId="11" fillId="45" borderId="53" xfId="0" applyFont="1" applyFill="1" applyBorder="1" applyAlignment="1">
      <alignment horizontal="center"/>
    </xf>
    <xf numFmtId="164" fontId="11" fillId="45" borderId="44" xfId="0" applyNumberFormat="1" applyFont="1" applyFill="1" applyBorder="1" applyAlignment="1">
      <alignment horizontal="center"/>
    </xf>
    <xf numFmtId="0" fontId="11" fillId="0" borderId="100" xfId="0" applyFont="1" applyBorder="1" applyAlignment="1" applyProtection="1">
      <alignment horizontal="center"/>
      <protection locked="0"/>
    </xf>
    <xf numFmtId="0" fontId="6" fillId="0" borderId="129" xfId="0" applyFont="1" applyBorder="1" applyAlignment="1">
      <alignment horizontal="center"/>
    </xf>
    <xf numFmtId="164" fontId="6" fillId="0" borderId="130" xfId="0" applyNumberFormat="1" applyFont="1" applyBorder="1" applyAlignment="1">
      <alignment horizontal="center"/>
    </xf>
    <xf numFmtId="0" fontId="11" fillId="45" borderId="50" xfId="0" applyFont="1" applyFill="1" applyBorder="1" applyAlignment="1">
      <alignment horizontal="center"/>
    </xf>
    <xf numFmtId="0" fontId="11" fillId="45" borderId="95" xfId="0" applyFont="1" applyFill="1" applyBorder="1" applyAlignment="1">
      <alignment horizontal="center"/>
    </xf>
    <xf numFmtId="0" fontId="11" fillId="45" borderId="51" xfId="0" applyFont="1" applyFill="1" applyBorder="1" applyAlignment="1">
      <alignment horizontal="center"/>
    </xf>
    <xf numFmtId="164" fontId="11" fillId="45" borderId="52" xfId="0" applyNumberFormat="1" applyFont="1" applyFill="1" applyBorder="1" applyAlignment="1">
      <alignment horizontal="center"/>
    </xf>
    <xf numFmtId="0" fontId="11" fillId="45" borderId="56" xfId="0" applyFont="1" applyFill="1" applyBorder="1" applyAlignment="1">
      <alignment horizontal="center"/>
    </xf>
    <xf numFmtId="0" fontId="11" fillId="45" borderId="59" xfId="0" applyFont="1" applyFill="1" applyBorder="1" applyAlignment="1">
      <alignment horizontal="center"/>
    </xf>
    <xf numFmtId="0" fontId="49" fillId="45" borderId="184" xfId="0" applyFont="1" applyFill="1" applyBorder="1" applyAlignment="1">
      <alignment horizontal="center" vertical="center"/>
    </xf>
    <xf numFmtId="0" fontId="11" fillId="45" borderId="38" xfId="0" applyFont="1" applyFill="1" applyBorder="1" applyAlignment="1">
      <alignment horizontal="center"/>
    </xf>
    <xf numFmtId="0" fontId="11" fillId="45" borderId="57" xfId="0" applyFont="1" applyFill="1" applyBorder="1" applyAlignment="1">
      <alignment horizontal="center"/>
    </xf>
    <xf numFmtId="164" fontId="11" fillId="45" borderId="58" xfId="0" applyNumberFormat="1" applyFont="1" applyFill="1" applyBorder="1" applyAlignment="1">
      <alignment horizontal="center"/>
    </xf>
    <xf numFmtId="0" fontId="11" fillId="45" borderId="6" xfId="0" applyFont="1" applyFill="1" applyBorder="1" applyAlignment="1">
      <alignment horizontal="center"/>
    </xf>
    <xf numFmtId="164" fontId="11" fillId="45" borderId="63" xfId="0" applyNumberFormat="1" applyFont="1" applyFill="1" applyBorder="1" applyAlignment="1">
      <alignment horizontal="center"/>
    </xf>
    <xf numFmtId="0" fontId="11" fillId="45" borderId="67" xfId="0" applyFont="1" applyFill="1" applyBorder="1" applyAlignment="1">
      <alignment horizontal="center"/>
    </xf>
    <xf numFmtId="0" fontId="11" fillId="45" borderId="65" xfId="0" applyFont="1" applyFill="1" applyBorder="1" applyAlignment="1">
      <alignment horizontal="center"/>
    </xf>
    <xf numFmtId="0" fontId="11" fillId="45" borderId="105" xfId="0" applyFont="1" applyFill="1" applyBorder="1" applyAlignment="1">
      <alignment horizontal="center"/>
    </xf>
    <xf numFmtId="0" fontId="11" fillId="45" borderId="26" xfId="0" applyFont="1" applyFill="1" applyBorder="1" applyAlignment="1">
      <alignment horizontal="center"/>
    </xf>
    <xf numFmtId="164" fontId="11" fillId="45" borderId="66" xfId="0" applyNumberFormat="1" applyFont="1" applyFill="1" applyBorder="1" applyAlignment="1">
      <alignment horizontal="center"/>
    </xf>
    <xf numFmtId="0" fontId="11" fillId="45" borderId="69" xfId="0" applyFont="1" applyFill="1" applyBorder="1" applyAlignment="1">
      <alignment horizontal="center"/>
    </xf>
    <xf numFmtId="0" fontId="11" fillId="45" borderId="104" xfId="0" applyFont="1" applyFill="1" applyBorder="1" applyAlignment="1">
      <alignment horizontal="center"/>
    </xf>
    <xf numFmtId="0" fontId="11" fillId="45" borderId="81" xfId="0" applyFont="1" applyFill="1" applyBorder="1" applyAlignment="1">
      <alignment horizontal="center"/>
    </xf>
    <xf numFmtId="0" fontId="49" fillId="45" borderId="11" xfId="0" applyFont="1" applyFill="1" applyBorder="1" applyAlignment="1">
      <alignment horizontal="center" vertical="center"/>
    </xf>
    <xf numFmtId="0" fontId="11" fillId="45" borderId="107" xfId="0" applyFont="1" applyFill="1" applyBorder="1" applyAlignment="1">
      <alignment horizontal="center"/>
    </xf>
    <xf numFmtId="0" fontId="11" fillId="45" borderId="80" xfId="0" applyFont="1" applyFill="1" applyBorder="1" applyAlignment="1">
      <alignment horizontal="center"/>
    </xf>
    <xf numFmtId="164" fontId="11" fillId="45" borderId="199" xfId="0" applyNumberFormat="1" applyFont="1" applyFill="1" applyBorder="1" applyAlignment="1">
      <alignment horizontal="center"/>
    </xf>
    <xf numFmtId="0" fontId="11" fillId="0" borderId="107" xfId="0" applyFont="1" applyBorder="1" applyAlignment="1" applyProtection="1">
      <alignment horizontal="center"/>
      <protection locked="0"/>
    </xf>
    <xf numFmtId="0" fontId="30" fillId="25" borderId="80" xfId="0" applyFont="1" applyFill="1" applyBorder="1" applyAlignment="1" applyProtection="1">
      <alignment horizontal="center"/>
      <protection locked="0"/>
    </xf>
    <xf numFmtId="0" fontId="11" fillId="28" borderId="80" xfId="0" applyFont="1" applyFill="1" applyBorder="1" applyAlignment="1" applyProtection="1">
      <alignment horizontal="center"/>
      <protection locked="0"/>
    </xf>
    <xf numFmtId="0" fontId="11" fillId="32" borderId="80" xfId="0" applyFont="1" applyFill="1" applyBorder="1" applyAlignment="1" applyProtection="1">
      <alignment horizontal="center"/>
      <protection locked="0"/>
    </xf>
    <xf numFmtId="0" fontId="11" fillId="27" borderId="80" xfId="0" applyFont="1" applyFill="1" applyBorder="1" applyAlignment="1" applyProtection="1">
      <alignment horizontal="center"/>
      <protection locked="0"/>
    </xf>
    <xf numFmtId="0" fontId="11" fillId="31" borderId="80" xfId="0" applyFont="1" applyFill="1" applyBorder="1" applyAlignment="1" applyProtection="1">
      <alignment horizontal="center"/>
      <protection locked="0"/>
    </xf>
    <xf numFmtId="0" fontId="11" fillId="30" borderId="114" xfId="0" applyFont="1" applyFill="1" applyBorder="1" applyAlignment="1" applyProtection="1">
      <alignment horizontal="center"/>
      <protection locked="0"/>
    </xf>
    <xf numFmtId="0" fontId="6" fillId="0" borderId="191" xfId="0" applyFont="1" applyBorder="1" applyAlignment="1">
      <alignment horizontal="center"/>
    </xf>
    <xf numFmtId="0" fontId="11" fillId="23" borderId="59" xfId="0" applyFont="1" applyFill="1" applyBorder="1" applyAlignment="1">
      <alignment horizontal="center"/>
    </xf>
    <xf numFmtId="0" fontId="49" fillId="0" borderId="212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/>
    </xf>
    <xf numFmtId="0" fontId="11" fillId="0" borderId="69" xfId="0" applyFont="1" applyBorder="1" applyAlignment="1" applyProtection="1">
      <alignment horizontal="center"/>
      <protection locked="0"/>
    </xf>
    <xf numFmtId="0" fontId="11" fillId="30" borderId="209" xfId="0" applyFont="1" applyFill="1" applyBorder="1" applyAlignment="1" applyProtection="1">
      <alignment horizontal="center"/>
      <protection locked="0"/>
    </xf>
    <xf numFmtId="0" fontId="11" fillId="0" borderId="207" xfId="0" applyFont="1" applyBorder="1" applyAlignment="1">
      <alignment horizontal="center"/>
    </xf>
    <xf numFmtId="0" fontId="49" fillId="0" borderId="19" xfId="0" applyFont="1" applyBorder="1" applyAlignment="1">
      <alignment horizontal="center" vertical="center"/>
    </xf>
    <xf numFmtId="164" fontId="11" fillId="0" borderId="67" xfId="0" applyNumberFormat="1" applyFont="1" applyBorder="1" applyAlignment="1">
      <alignment horizontal="center"/>
    </xf>
    <xf numFmtId="0" fontId="11" fillId="0" borderId="217" xfId="0" applyFont="1" applyBorder="1" applyAlignment="1">
      <alignment horizontal="center"/>
    </xf>
    <xf numFmtId="0" fontId="49" fillId="0" borderId="142" xfId="0" applyFont="1" applyBorder="1" applyAlignment="1">
      <alignment horizontal="center" vertical="center"/>
    </xf>
    <xf numFmtId="0" fontId="11" fillId="0" borderId="117" xfId="0" applyFont="1" applyBorder="1" applyAlignment="1">
      <alignment horizontal="center"/>
    </xf>
    <xf numFmtId="0" fontId="11" fillId="0" borderId="218" xfId="0" applyFont="1" applyBorder="1" applyAlignment="1">
      <alignment horizontal="center"/>
    </xf>
    <xf numFmtId="164" fontId="11" fillId="0" borderId="116" xfId="0" applyNumberFormat="1" applyFont="1" applyBorder="1" applyAlignment="1">
      <alignment horizontal="center"/>
    </xf>
    <xf numFmtId="0" fontId="11" fillId="0" borderId="115" xfId="0" applyFont="1" applyBorder="1" applyAlignment="1" applyProtection="1">
      <alignment horizontal="center"/>
      <protection locked="0"/>
    </xf>
    <xf numFmtId="0" fontId="30" fillId="26" borderId="218" xfId="0" applyFont="1" applyFill="1" applyBorder="1" applyAlignment="1" applyProtection="1">
      <alignment horizontal="center"/>
      <protection locked="0"/>
    </xf>
    <xf numFmtId="0" fontId="30" fillId="25" borderId="218" xfId="0" applyFont="1" applyFill="1" applyBorder="1" applyAlignment="1" applyProtection="1">
      <alignment horizontal="center"/>
      <protection locked="0"/>
    </xf>
    <xf numFmtId="0" fontId="11" fillId="28" borderId="218" xfId="0" applyFont="1" applyFill="1" applyBorder="1" applyAlignment="1" applyProtection="1">
      <alignment horizontal="center"/>
      <protection locked="0"/>
    </xf>
    <xf numFmtId="0" fontId="11" fillId="32" borderId="218" xfId="0" applyFont="1" applyFill="1" applyBorder="1" applyAlignment="1" applyProtection="1">
      <alignment horizontal="center"/>
      <protection locked="0"/>
    </xf>
    <xf numFmtId="0" fontId="11" fillId="27" borderId="218" xfId="0" applyFont="1" applyFill="1" applyBorder="1" applyAlignment="1" applyProtection="1">
      <alignment horizontal="center"/>
      <protection locked="0"/>
    </xf>
    <xf numFmtId="0" fontId="11" fillId="9" borderId="218" xfId="0" applyFont="1" applyFill="1" applyBorder="1" applyAlignment="1" applyProtection="1">
      <alignment horizontal="center"/>
      <protection locked="0"/>
    </xf>
    <xf numFmtId="0" fontId="11" fillId="31" borderId="218" xfId="0" applyFont="1" applyFill="1" applyBorder="1" applyAlignment="1" applyProtection="1">
      <alignment horizontal="center"/>
      <protection locked="0"/>
    </xf>
    <xf numFmtId="0" fontId="11" fillId="30" borderId="219" xfId="0" applyFont="1" applyFill="1" applyBorder="1" applyAlignment="1" applyProtection="1">
      <alignment horizontal="center"/>
      <protection locked="0"/>
    </xf>
    <xf numFmtId="0" fontId="11" fillId="0" borderId="206" xfId="0" applyFont="1" applyBorder="1" applyAlignment="1">
      <alignment horizontal="center"/>
    </xf>
    <xf numFmtId="0" fontId="11" fillId="0" borderId="213" xfId="0" applyFont="1" applyBorder="1" applyAlignment="1">
      <alignment horizontal="center"/>
    </xf>
    <xf numFmtId="0" fontId="49" fillId="0" borderId="183" xfId="0" applyFont="1" applyBorder="1" applyAlignment="1">
      <alignment horizontal="center" vertical="center"/>
    </xf>
    <xf numFmtId="0" fontId="11" fillId="0" borderId="214" xfId="0" applyFont="1" applyBorder="1" applyAlignment="1">
      <alignment horizontal="center"/>
    </xf>
    <xf numFmtId="0" fontId="11" fillId="0" borderId="215" xfId="0" applyFont="1" applyBorder="1" applyAlignment="1">
      <alignment horizontal="center"/>
    </xf>
    <xf numFmtId="164" fontId="11" fillId="0" borderId="213" xfId="0" applyNumberFormat="1" applyFont="1" applyBorder="1" applyAlignment="1">
      <alignment horizontal="center"/>
    </xf>
    <xf numFmtId="0" fontId="11" fillId="0" borderId="216" xfId="0" applyFont="1" applyBorder="1" applyAlignment="1" applyProtection="1">
      <alignment horizontal="center"/>
      <protection locked="0"/>
    </xf>
    <xf numFmtId="0" fontId="30" fillId="26" borderId="215" xfId="0" applyFont="1" applyFill="1" applyBorder="1" applyAlignment="1" applyProtection="1">
      <alignment horizontal="center"/>
      <protection locked="0"/>
    </xf>
    <xf numFmtId="0" fontId="30" fillId="25" borderId="215" xfId="0" applyFont="1" applyFill="1" applyBorder="1" applyAlignment="1" applyProtection="1">
      <alignment horizontal="center"/>
      <protection locked="0"/>
    </xf>
    <xf numFmtId="0" fontId="11" fillId="28" borderId="215" xfId="0" applyFont="1" applyFill="1" applyBorder="1" applyAlignment="1" applyProtection="1">
      <alignment horizontal="center"/>
      <protection locked="0"/>
    </xf>
    <xf numFmtId="0" fontId="11" fillId="32" borderId="215" xfId="0" applyFont="1" applyFill="1" applyBorder="1" applyAlignment="1" applyProtection="1">
      <alignment horizontal="center"/>
      <protection locked="0"/>
    </xf>
    <xf numFmtId="0" fontId="11" fillId="27" borderId="215" xfId="0" applyFont="1" applyFill="1" applyBorder="1" applyAlignment="1" applyProtection="1">
      <alignment horizontal="center"/>
      <protection locked="0"/>
    </xf>
    <xf numFmtId="0" fontId="11" fillId="9" borderId="215" xfId="0" applyFont="1" applyFill="1" applyBorder="1" applyAlignment="1" applyProtection="1">
      <alignment horizontal="center"/>
      <protection locked="0"/>
    </xf>
    <xf numFmtId="0" fontId="11" fillId="31" borderId="215" xfId="0" applyFont="1" applyFill="1" applyBorder="1" applyAlignment="1" applyProtection="1">
      <alignment horizontal="center"/>
      <protection locked="0"/>
    </xf>
    <xf numFmtId="0" fontId="11" fillId="30" borderId="208" xfId="0" applyFont="1" applyFill="1" applyBorder="1" applyAlignment="1" applyProtection="1">
      <alignment horizontal="center"/>
      <protection locked="0"/>
    </xf>
    <xf numFmtId="164" fontId="6" fillId="0" borderId="211" xfId="0" applyNumberFormat="1" applyFont="1" applyBorder="1" applyAlignment="1">
      <alignment horizontal="center"/>
    </xf>
    <xf numFmtId="0" fontId="11" fillId="45" borderId="220" xfId="0" applyFont="1" applyFill="1" applyBorder="1" applyAlignment="1">
      <alignment horizontal="center"/>
    </xf>
    <xf numFmtId="0" fontId="11" fillId="45" borderId="223" xfId="0" applyFont="1" applyFill="1" applyBorder="1" applyAlignment="1">
      <alignment horizontal="center"/>
    </xf>
    <xf numFmtId="0" fontId="49" fillId="45" borderId="225" xfId="0" applyFont="1" applyFill="1" applyBorder="1" applyAlignment="1">
      <alignment horizontal="center" vertical="center"/>
    </xf>
    <xf numFmtId="0" fontId="11" fillId="45" borderId="224" xfId="0" applyFont="1" applyFill="1" applyBorder="1" applyAlignment="1">
      <alignment horizontal="center"/>
    </xf>
    <xf numFmtId="0" fontId="11" fillId="45" borderId="221" xfId="0" applyFont="1" applyFill="1" applyBorder="1" applyAlignment="1">
      <alignment horizontal="center"/>
    </xf>
    <xf numFmtId="164" fontId="11" fillId="45" borderId="240" xfId="0" applyNumberFormat="1" applyFont="1" applyFill="1" applyBorder="1" applyAlignment="1">
      <alignment horizontal="center"/>
    </xf>
    <xf numFmtId="0" fontId="11" fillId="0" borderId="224" xfId="0" applyFont="1" applyBorder="1" applyAlignment="1" applyProtection="1">
      <alignment horizontal="center"/>
      <protection locked="0"/>
    </xf>
    <xf numFmtId="0" fontId="30" fillId="26" borderId="221" xfId="0" applyFont="1" applyFill="1" applyBorder="1" applyAlignment="1" applyProtection="1">
      <alignment horizontal="center"/>
      <protection locked="0"/>
    </xf>
    <xf numFmtId="0" fontId="30" fillId="25" borderId="221" xfId="0" applyFont="1" applyFill="1" applyBorder="1" applyAlignment="1" applyProtection="1">
      <alignment horizontal="center"/>
      <protection locked="0"/>
    </xf>
    <xf numFmtId="0" fontId="11" fillId="28" borderId="221" xfId="0" applyFont="1" applyFill="1" applyBorder="1" applyAlignment="1" applyProtection="1">
      <alignment horizontal="center"/>
      <protection locked="0"/>
    </xf>
    <xf numFmtId="0" fontId="11" fillId="32" borderId="221" xfId="0" applyFont="1" applyFill="1" applyBorder="1" applyAlignment="1" applyProtection="1">
      <alignment horizontal="center"/>
      <protection locked="0"/>
    </xf>
    <xf numFmtId="0" fontId="11" fillId="27" borderId="221" xfId="0" applyFont="1" applyFill="1" applyBorder="1" applyAlignment="1" applyProtection="1">
      <alignment horizontal="center"/>
      <protection locked="0"/>
    </xf>
    <xf numFmtId="0" fontId="11" fillId="9" borderId="221" xfId="0" applyFont="1" applyFill="1" applyBorder="1" applyAlignment="1" applyProtection="1">
      <alignment horizontal="center"/>
      <protection locked="0"/>
    </xf>
    <xf numFmtId="0" fontId="11" fillId="31" borderId="221" xfId="0" applyFont="1" applyFill="1" applyBorder="1" applyAlignment="1" applyProtection="1">
      <alignment horizontal="center"/>
      <protection locked="0"/>
    </xf>
    <xf numFmtId="0" fontId="11" fillId="30" borderId="223" xfId="0" applyFont="1" applyFill="1" applyBorder="1" applyAlignment="1" applyProtection="1">
      <alignment horizontal="center"/>
      <protection locked="0"/>
    </xf>
    <xf numFmtId="0" fontId="6" fillId="0" borderId="229" xfId="0" applyFont="1" applyBorder="1" applyAlignment="1">
      <alignment horizontal="center"/>
    </xf>
    <xf numFmtId="164" fontId="6" fillId="0" borderId="230" xfId="0" applyNumberFormat="1" applyFont="1" applyBorder="1" applyAlignment="1">
      <alignment horizontal="center"/>
    </xf>
    <xf numFmtId="0" fontId="11" fillId="45" borderId="226" xfId="0" applyFont="1" applyFill="1" applyBorder="1" applyAlignment="1">
      <alignment horizontal="center"/>
    </xf>
    <xf numFmtId="0" fontId="11" fillId="45" borderId="121" xfId="0" applyFont="1" applyFill="1" applyBorder="1" applyAlignment="1">
      <alignment horizontal="center"/>
    </xf>
    <xf numFmtId="0" fontId="49" fillId="45" borderId="122" xfId="0" applyFont="1" applyFill="1" applyBorder="1" applyAlignment="1">
      <alignment horizontal="center" vertical="center"/>
    </xf>
    <xf numFmtId="0" fontId="11" fillId="45" borderId="123" xfId="0" applyFont="1" applyFill="1" applyBorder="1" applyAlignment="1">
      <alignment horizontal="center"/>
    </xf>
    <xf numFmtId="0" fontId="11" fillId="45" borderId="222" xfId="0" applyFont="1" applyFill="1" applyBorder="1" applyAlignment="1">
      <alignment horizontal="center"/>
    </xf>
    <xf numFmtId="164" fontId="11" fillId="45" borderId="227" xfId="0" applyNumberFormat="1" applyFont="1" applyFill="1" applyBorder="1" applyAlignment="1">
      <alignment horizontal="center"/>
    </xf>
    <xf numFmtId="0" fontId="11" fillId="0" borderId="123" xfId="0" applyFont="1" applyBorder="1" applyAlignment="1" applyProtection="1">
      <alignment horizontal="center"/>
      <protection locked="0"/>
    </xf>
    <xf numFmtId="0" fontId="30" fillId="26" borderId="222" xfId="0" applyFont="1" applyFill="1" applyBorder="1" applyAlignment="1" applyProtection="1">
      <alignment horizontal="center"/>
      <protection locked="0"/>
    </xf>
    <xf numFmtId="0" fontId="30" fillId="25" borderId="222" xfId="0" applyFont="1" applyFill="1" applyBorder="1" applyAlignment="1" applyProtection="1">
      <alignment horizontal="center"/>
      <protection locked="0"/>
    </xf>
    <xf numFmtId="0" fontId="11" fillId="28" borderId="222" xfId="0" applyFont="1" applyFill="1" applyBorder="1" applyAlignment="1" applyProtection="1">
      <alignment horizontal="center"/>
      <protection locked="0"/>
    </xf>
    <xf numFmtId="0" fontId="11" fillId="32" borderId="222" xfId="0" applyFont="1" applyFill="1" applyBorder="1" applyAlignment="1" applyProtection="1">
      <alignment horizontal="center"/>
      <protection locked="0"/>
    </xf>
    <xf numFmtId="0" fontId="11" fillId="27" borderId="222" xfId="0" applyFont="1" applyFill="1" applyBorder="1" applyAlignment="1" applyProtection="1">
      <alignment horizontal="center"/>
      <protection locked="0"/>
    </xf>
    <xf numFmtId="0" fontId="11" fillId="9" borderId="222" xfId="0" applyFont="1" applyFill="1" applyBorder="1" applyAlignment="1" applyProtection="1">
      <alignment horizontal="center"/>
      <protection locked="0"/>
    </xf>
    <xf numFmtId="0" fontId="11" fillId="31" borderId="222" xfId="0" applyFont="1" applyFill="1" applyBorder="1" applyAlignment="1" applyProtection="1">
      <alignment horizontal="center"/>
      <protection locked="0"/>
    </xf>
    <xf numFmtId="0" fontId="11" fillId="30" borderId="121" xfId="0" applyFont="1" applyFill="1" applyBorder="1" applyAlignment="1" applyProtection="1">
      <alignment horizontal="center"/>
      <protection locked="0"/>
    </xf>
    <xf numFmtId="0" fontId="11" fillId="45" borderId="235" xfId="0" applyFont="1" applyFill="1" applyBorder="1" applyAlignment="1">
      <alignment horizontal="center"/>
    </xf>
    <xf numFmtId="0" fontId="11" fillId="45" borderId="236" xfId="0" applyFont="1" applyFill="1" applyBorder="1" applyAlignment="1">
      <alignment horizontal="center"/>
    </xf>
    <xf numFmtId="0" fontId="11" fillId="45" borderId="237" xfId="0" applyFont="1" applyFill="1" applyBorder="1" applyAlignment="1">
      <alignment horizontal="center"/>
    </xf>
    <xf numFmtId="0" fontId="11" fillId="45" borderId="238" xfId="0" applyFont="1" applyFill="1" applyBorder="1" applyAlignment="1">
      <alignment horizontal="center"/>
    </xf>
    <xf numFmtId="164" fontId="11" fillId="45" borderId="239" xfId="0" applyNumberFormat="1" applyFont="1" applyFill="1" applyBorder="1" applyAlignment="1">
      <alignment horizontal="center"/>
    </xf>
    <xf numFmtId="0" fontId="11" fillId="0" borderId="237" xfId="0" applyFont="1" applyBorder="1" applyAlignment="1" applyProtection="1">
      <alignment horizontal="center"/>
      <protection locked="0"/>
    </xf>
    <xf numFmtId="0" fontId="30" fillId="26" borderId="238" xfId="0" applyFont="1" applyFill="1" applyBorder="1" applyAlignment="1" applyProtection="1">
      <alignment horizontal="center"/>
      <protection locked="0"/>
    </xf>
    <xf numFmtId="0" fontId="30" fillId="25" borderId="238" xfId="0" applyFont="1" applyFill="1" applyBorder="1" applyAlignment="1" applyProtection="1">
      <alignment horizontal="center"/>
      <protection locked="0"/>
    </xf>
    <xf numFmtId="0" fontId="11" fillId="28" borderId="238" xfId="0" applyFont="1" applyFill="1" applyBorder="1" applyAlignment="1" applyProtection="1">
      <alignment horizontal="center"/>
      <protection locked="0"/>
    </xf>
    <xf numFmtId="0" fontId="11" fillId="32" borderId="238" xfId="0" applyFont="1" applyFill="1" applyBorder="1" applyAlignment="1" applyProtection="1">
      <alignment horizontal="center"/>
      <protection locked="0"/>
    </xf>
    <xf numFmtId="0" fontId="11" fillId="27" borderId="238" xfId="0" applyFont="1" applyFill="1" applyBorder="1" applyAlignment="1" applyProtection="1">
      <alignment horizontal="center"/>
      <protection locked="0"/>
    </xf>
    <xf numFmtId="0" fontId="11" fillId="9" borderId="238" xfId="0" applyFont="1" applyFill="1" applyBorder="1" applyAlignment="1" applyProtection="1">
      <alignment horizontal="center"/>
      <protection locked="0"/>
    </xf>
    <xf numFmtId="0" fontId="11" fillId="31" borderId="238" xfId="0" applyFont="1" applyFill="1" applyBorder="1" applyAlignment="1" applyProtection="1">
      <alignment horizontal="center"/>
      <protection locked="0"/>
    </xf>
    <xf numFmtId="0" fontId="11" fillId="30" borderId="239" xfId="0" applyFont="1" applyFill="1" applyBorder="1" applyAlignment="1" applyProtection="1">
      <alignment horizontal="center"/>
      <protection locked="0"/>
    </xf>
    <xf numFmtId="0" fontId="11" fillId="45" borderId="231" xfId="0" applyFont="1" applyFill="1" applyBorder="1" applyAlignment="1">
      <alignment horizontal="center"/>
    </xf>
    <xf numFmtId="0" fontId="11" fillId="45" borderId="232" xfId="0" applyFont="1" applyFill="1" applyBorder="1" applyAlignment="1">
      <alignment horizontal="center"/>
    </xf>
    <xf numFmtId="0" fontId="49" fillId="45" borderId="183" xfId="0" applyFont="1" applyFill="1" applyBorder="1" applyAlignment="1">
      <alignment horizontal="center" vertical="center"/>
    </xf>
    <xf numFmtId="0" fontId="11" fillId="45" borderId="233" xfId="0" applyFont="1" applyFill="1" applyBorder="1" applyAlignment="1">
      <alignment horizontal="center"/>
    </xf>
    <xf numFmtId="0" fontId="11" fillId="45" borderId="234" xfId="0" applyFont="1" applyFill="1" applyBorder="1" applyAlignment="1">
      <alignment horizontal="center"/>
    </xf>
    <xf numFmtId="164" fontId="11" fillId="45" borderId="241" xfId="0" applyNumberFormat="1" applyFont="1" applyFill="1" applyBorder="1" applyAlignment="1">
      <alignment horizontal="center"/>
    </xf>
    <xf numFmtId="0" fontId="11" fillId="0" borderId="233" xfId="0" applyFont="1" applyBorder="1" applyAlignment="1" applyProtection="1">
      <alignment horizontal="center"/>
      <protection locked="0"/>
    </xf>
    <xf numFmtId="0" fontId="30" fillId="26" borderId="234" xfId="0" applyFont="1" applyFill="1" applyBorder="1" applyAlignment="1" applyProtection="1">
      <alignment horizontal="center"/>
      <protection locked="0"/>
    </xf>
    <xf numFmtId="0" fontId="30" fillId="25" borderId="234" xfId="0" applyFont="1" applyFill="1" applyBorder="1" applyAlignment="1" applyProtection="1">
      <alignment horizontal="center"/>
      <protection locked="0"/>
    </xf>
    <xf numFmtId="0" fontId="11" fillId="28" borderId="234" xfId="0" applyFont="1" applyFill="1" applyBorder="1" applyAlignment="1" applyProtection="1">
      <alignment horizontal="center"/>
      <protection locked="0"/>
    </xf>
    <xf numFmtId="0" fontId="11" fillId="32" borderId="234" xfId="0" applyFont="1" applyFill="1" applyBorder="1" applyAlignment="1" applyProtection="1">
      <alignment horizontal="center"/>
      <protection locked="0"/>
    </xf>
    <xf numFmtId="0" fontId="11" fillId="27" borderId="234" xfId="0" applyFont="1" applyFill="1" applyBorder="1" applyAlignment="1" applyProtection="1">
      <alignment horizontal="center"/>
      <protection locked="0"/>
    </xf>
    <xf numFmtId="0" fontId="11" fillId="9" borderId="234" xfId="0" applyFont="1" applyFill="1" applyBorder="1" applyAlignment="1" applyProtection="1">
      <alignment horizontal="center"/>
      <protection locked="0"/>
    </xf>
    <xf numFmtId="0" fontId="11" fillId="31" borderId="234" xfId="0" applyFont="1" applyFill="1" applyBorder="1" applyAlignment="1" applyProtection="1">
      <alignment horizontal="center"/>
      <protection locked="0"/>
    </xf>
    <xf numFmtId="0" fontId="11" fillId="30" borderId="232" xfId="0" applyFont="1" applyFill="1" applyBorder="1" applyAlignment="1" applyProtection="1">
      <alignment horizontal="center"/>
      <protection locked="0"/>
    </xf>
    <xf numFmtId="0" fontId="6" fillId="0" borderId="228" xfId="0" applyFont="1" applyBorder="1" applyAlignment="1">
      <alignment horizontal="center"/>
    </xf>
    <xf numFmtId="0" fontId="11" fillId="0" borderId="158" xfId="0" applyFont="1" applyBorder="1" applyAlignment="1">
      <alignment horizontal="center"/>
    </xf>
    <xf numFmtId="0" fontId="11" fillId="0" borderId="160" xfId="0" applyFont="1" applyBorder="1" applyAlignment="1">
      <alignment horizontal="center"/>
    </xf>
    <xf numFmtId="0" fontId="11" fillId="4" borderId="44" xfId="0" applyFont="1" applyFill="1" applyBorder="1" applyAlignment="1" applyProtection="1">
      <alignment horizontal="center"/>
      <protection locked="0"/>
    </xf>
    <xf numFmtId="0" fontId="49" fillId="0" borderId="23" xfId="0" applyFont="1" applyBorder="1" applyAlignment="1">
      <alignment horizontal="center" vertical="center"/>
    </xf>
    <xf numFmtId="164" fontId="11" fillId="0" borderId="165" xfId="0" applyNumberFormat="1" applyFont="1" applyBorder="1" applyAlignment="1">
      <alignment horizontal="center"/>
    </xf>
    <xf numFmtId="0" fontId="11" fillId="0" borderId="7" xfId="0" applyFont="1" applyBorder="1" applyAlignment="1" applyProtection="1">
      <alignment horizontal="center"/>
      <protection locked="0"/>
    </xf>
    <xf numFmtId="0" fontId="11" fillId="4" borderId="101" xfId="0" applyFont="1" applyFill="1" applyBorder="1" applyAlignment="1" applyProtection="1">
      <alignment horizontal="center"/>
      <protection locked="0"/>
    </xf>
    <xf numFmtId="0" fontId="11" fillId="0" borderId="172" xfId="0" applyFont="1" applyBorder="1" applyAlignment="1">
      <alignment horizontal="center"/>
    </xf>
    <xf numFmtId="0" fontId="49" fillId="0" borderId="35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/>
    </xf>
    <xf numFmtId="0" fontId="11" fillId="0" borderId="173" xfId="0" applyFont="1" applyBorder="1" applyAlignment="1">
      <alignment horizontal="center"/>
    </xf>
    <xf numFmtId="164" fontId="11" fillId="0" borderId="174" xfId="0" applyNumberFormat="1" applyFont="1" applyBorder="1" applyAlignment="1">
      <alignment horizontal="center"/>
    </xf>
    <xf numFmtId="0" fontId="11" fillId="0" borderId="99" xfId="0" applyFont="1" applyBorder="1" applyAlignment="1" applyProtection="1">
      <alignment horizontal="center"/>
      <protection locked="0"/>
    </xf>
    <xf numFmtId="0" fontId="30" fillId="26" borderId="173" xfId="0" applyFont="1" applyFill="1" applyBorder="1" applyAlignment="1" applyProtection="1">
      <alignment horizontal="center"/>
      <protection locked="0"/>
    </xf>
    <xf numFmtId="0" fontId="11" fillId="6" borderId="173" xfId="0" applyFont="1" applyFill="1" applyBorder="1" applyAlignment="1" applyProtection="1">
      <alignment horizontal="center"/>
      <protection locked="0"/>
    </xf>
    <xf numFmtId="0" fontId="11" fillId="5" borderId="173" xfId="0" applyFont="1" applyFill="1" applyBorder="1" applyAlignment="1" applyProtection="1">
      <alignment horizontal="center"/>
      <protection locked="0"/>
    </xf>
    <xf numFmtId="0" fontId="11" fillId="7" borderId="173" xfId="0" applyFont="1" applyFill="1" applyBorder="1" applyAlignment="1" applyProtection="1">
      <alignment horizontal="center"/>
      <protection locked="0"/>
    </xf>
    <xf numFmtId="0" fontId="11" fillId="8" borderId="173" xfId="0" applyFont="1" applyFill="1" applyBorder="1" applyAlignment="1" applyProtection="1">
      <alignment horizontal="center"/>
      <protection locked="0"/>
    </xf>
    <xf numFmtId="0" fontId="11" fillId="9" borderId="173" xfId="0" applyFont="1" applyFill="1" applyBorder="1" applyAlignment="1" applyProtection="1">
      <alignment horizontal="center"/>
      <protection locked="0"/>
    </xf>
    <xf numFmtId="0" fontId="11" fillId="12" borderId="173" xfId="0" applyFont="1" applyFill="1" applyBorder="1" applyAlignment="1" applyProtection="1">
      <alignment horizontal="center"/>
      <protection locked="0"/>
    </xf>
    <xf numFmtId="0" fontId="11" fillId="13" borderId="173" xfId="0" applyFont="1" applyFill="1" applyBorder="1" applyAlignment="1" applyProtection="1">
      <alignment horizontal="center"/>
      <protection locked="0"/>
    </xf>
    <xf numFmtId="0" fontId="11" fillId="4" borderId="174" xfId="0" applyFont="1" applyFill="1" applyBorder="1" applyAlignment="1" applyProtection="1">
      <alignment horizontal="center"/>
      <protection locked="0"/>
    </xf>
    <xf numFmtId="0" fontId="11" fillId="0" borderId="166" xfId="0" applyFont="1" applyBorder="1" applyAlignment="1">
      <alignment horizontal="center"/>
    </xf>
    <xf numFmtId="0" fontId="11" fillId="0" borderId="167" xfId="0" applyFont="1" applyBorder="1" applyAlignment="1">
      <alignment horizontal="center"/>
    </xf>
    <xf numFmtId="0" fontId="11" fillId="0" borderId="169" xfId="0" applyFont="1" applyBorder="1" applyAlignment="1">
      <alignment horizontal="center"/>
    </xf>
    <xf numFmtId="0" fontId="11" fillId="0" borderId="170" xfId="0" applyFont="1" applyBorder="1" applyAlignment="1">
      <alignment horizontal="center"/>
    </xf>
    <xf numFmtId="164" fontId="11" fillId="0" borderId="171" xfId="0" applyNumberFormat="1" applyFont="1" applyBorder="1" applyAlignment="1">
      <alignment horizontal="center"/>
    </xf>
    <xf numFmtId="0" fontId="11" fillId="0" borderId="166" xfId="0" applyFont="1" applyBorder="1" applyAlignment="1" applyProtection="1">
      <alignment horizontal="center"/>
      <protection locked="0"/>
    </xf>
    <xf numFmtId="0" fontId="30" fillId="26" borderId="170" xfId="0" applyFont="1" applyFill="1" applyBorder="1" applyAlignment="1" applyProtection="1">
      <alignment horizontal="center"/>
      <protection locked="0"/>
    </xf>
    <xf numFmtId="0" fontId="11" fillId="6" borderId="170" xfId="0" applyFont="1" applyFill="1" applyBorder="1" applyAlignment="1" applyProtection="1">
      <alignment horizontal="center"/>
      <protection locked="0"/>
    </xf>
    <xf numFmtId="0" fontId="11" fillId="5" borderId="170" xfId="0" applyFont="1" applyFill="1" applyBorder="1" applyAlignment="1" applyProtection="1">
      <alignment horizontal="center"/>
      <protection locked="0"/>
    </xf>
    <xf numFmtId="0" fontId="11" fillId="7" borderId="170" xfId="0" applyFont="1" applyFill="1" applyBorder="1" applyAlignment="1" applyProtection="1">
      <alignment horizontal="center"/>
      <protection locked="0"/>
    </xf>
    <xf numFmtId="0" fontId="11" fillId="8" borderId="170" xfId="0" applyFont="1" applyFill="1" applyBorder="1" applyAlignment="1" applyProtection="1">
      <alignment horizontal="center"/>
      <protection locked="0"/>
    </xf>
    <xf numFmtId="0" fontId="11" fillId="9" borderId="170" xfId="0" applyFont="1" applyFill="1" applyBorder="1" applyAlignment="1" applyProtection="1">
      <alignment horizontal="center"/>
      <protection locked="0"/>
    </xf>
    <xf numFmtId="0" fontId="11" fillId="12" borderId="170" xfId="0" applyFont="1" applyFill="1" applyBorder="1" applyAlignment="1" applyProtection="1">
      <alignment horizontal="center"/>
      <protection locked="0"/>
    </xf>
    <xf numFmtId="0" fontId="11" fillId="13" borderId="170" xfId="0" applyFont="1" applyFill="1" applyBorder="1" applyAlignment="1" applyProtection="1">
      <alignment horizontal="center"/>
      <protection locked="0"/>
    </xf>
    <xf numFmtId="0" fontId="11" fillId="4" borderId="171" xfId="0" applyFont="1" applyFill="1" applyBorder="1" applyAlignment="1" applyProtection="1">
      <alignment horizontal="center"/>
      <protection locked="0"/>
    </xf>
    <xf numFmtId="0" fontId="49" fillId="0" borderId="97" xfId="0" applyFont="1" applyBorder="1" applyAlignment="1">
      <alignment horizontal="center" vertical="center"/>
    </xf>
    <xf numFmtId="0" fontId="11" fillId="4" borderId="58" xfId="0" applyFont="1" applyFill="1" applyBorder="1" applyAlignment="1" applyProtection="1">
      <alignment horizontal="center"/>
      <protection locked="0"/>
    </xf>
    <xf numFmtId="164" fontId="11" fillId="0" borderId="101" xfId="0" applyNumberFormat="1" applyFont="1" applyBorder="1" applyAlignment="1">
      <alignment horizontal="center"/>
    </xf>
    <xf numFmtId="0" fontId="11" fillId="0" borderId="175" xfId="0" applyFont="1" applyBorder="1" applyAlignment="1">
      <alignment horizontal="center"/>
    </xf>
    <xf numFmtId="0" fontId="49" fillId="0" borderId="176" xfId="0" applyFont="1" applyBorder="1" applyAlignment="1">
      <alignment horizontal="center" vertical="center"/>
    </xf>
    <xf numFmtId="0" fontId="11" fillId="0" borderId="161" xfId="0" applyFont="1" applyBorder="1" applyAlignment="1">
      <alignment horizontal="center"/>
    </xf>
    <xf numFmtId="0" fontId="11" fillId="0" borderId="162" xfId="0" applyFont="1" applyBorder="1" applyAlignment="1">
      <alignment horizontal="center"/>
    </xf>
    <xf numFmtId="0" fontId="49" fillId="0" borderId="118" xfId="0" applyFont="1" applyBorder="1" applyAlignment="1">
      <alignment horizontal="center" vertical="center"/>
    </xf>
    <xf numFmtId="0" fontId="11" fillId="0" borderId="163" xfId="0" applyFont="1" applyBorder="1" applyAlignment="1">
      <alignment horizontal="center"/>
    </xf>
    <xf numFmtId="0" fontId="11" fillId="0" borderId="164" xfId="0" applyFont="1" applyBorder="1" applyAlignment="1">
      <alignment horizontal="center"/>
    </xf>
    <xf numFmtId="0" fontId="11" fillId="0" borderId="163" xfId="0" applyFont="1" applyBorder="1" applyAlignment="1" applyProtection="1">
      <alignment horizontal="center"/>
      <protection locked="0"/>
    </xf>
    <xf numFmtId="0" fontId="30" fillId="26" borderId="164" xfId="0" applyFont="1" applyFill="1" applyBorder="1" applyAlignment="1" applyProtection="1">
      <alignment horizontal="center"/>
      <protection locked="0"/>
    </xf>
    <xf numFmtId="0" fontId="11" fillId="6" borderId="164" xfId="0" applyFont="1" applyFill="1" applyBorder="1" applyAlignment="1" applyProtection="1">
      <alignment horizontal="center"/>
      <protection locked="0"/>
    </xf>
    <xf numFmtId="0" fontId="11" fillId="5" borderId="164" xfId="0" applyFont="1" applyFill="1" applyBorder="1" applyAlignment="1" applyProtection="1">
      <alignment horizontal="center"/>
      <protection locked="0"/>
    </xf>
    <xf numFmtId="0" fontId="11" fillId="7" borderId="164" xfId="0" applyFont="1" applyFill="1" applyBorder="1" applyAlignment="1" applyProtection="1">
      <alignment horizontal="center"/>
      <protection locked="0"/>
    </xf>
    <xf numFmtId="0" fontId="11" fillId="8" borderId="164" xfId="0" applyFont="1" applyFill="1" applyBorder="1" applyAlignment="1" applyProtection="1">
      <alignment horizontal="center"/>
      <protection locked="0"/>
    </xf>
    <xf numFmtId="0" fontId="11" fillId="9" borderId="164" xfId="0" applyFont="1" applyFill="1" applyBorder="1" applyAlignment="1" applyProtection="1">
      <alignment horizontal="center"/>
      <protection locked="0"/>
    </xf>
    <xf numFmtId="0" fontId="11" fillId="12" borderId="164" xfId="0" applyFont="1" applyFill="1" applyBorder="1" applyAlignment="1" applyProtection="1">
      <alignment horizontal="center"/>
      <protection locked="0"/>
    </xf>
    <xf numFmtId="0" fontId="11" fillId="13" borderId="164" xfId="0" applyFont="1" applyFill="1" applyBorder="1" applyAlignment="1" applyProtection="1">
      <alignment horizontal="center"/>
      <protection locked="0"/>
    </xf>
    <xf numFmtId="0" fontId="11" fillId="4" borderId="165" xfId="0" applyFont="1" applyFill="1" applyBorder="1" applyAlignment="1" applyProtection="1">
      <alignment horizontal="center"/>
      <protection locked="0"/>
    </xf>
    <xf numFmtId="0" fontId="11" fillId="0" borderId="177" xfId="0" applyFont="1" applyBorder="1" applyAlignment="1">
      <alignment horizontal="center"/>
    </xf>
    <xf numFmtId="0" fontId="11" fillId="0" borderId="178" xfId="0" applyFont="1" applyBorder="1" applyAlignment="1">
      <alignment horizontal="center"/>
    </xf>
    <xf numFmtId="0" fontId="11" fillId="0" borderId="179" xfId="0" applyFont="1" applyBorder="1" applyAlignment="1">
      <alignment horizontal="center"/>
    </xf>
    <xf numFmtId="0" fontId="11" fillId="0" borderId="180" xfId="0" applyFont="1" applyBorder="1" applyAlignment="1">
      <alignment horizontal="center"/>
    </xf>
    <xf numFmtId="164" fontId="11" fillId="0" borderId="181" xfId="0" applyNumberFormat="1" applyFont="1" applyBorder="1" applyAlignment="1">
      <alignment horizontal="center"/>
    </xf>
    <xf numFmtId="0" fontId="11" fillId="0" borderId="177" xfId="0" applyFont="1" applyBorder="1" applyAlignment="1" applyProtection="1">
      <alignment horizontal="center"/>
      <protection locked="0"/>
    </xf>
    <xf numFmtId="0" fontId="30" fillId="26" borderId="180" xfId="0" applyFont="1" applyFill="1" applyBorder="1" applyAlignment="1" applyProtection="1">
      <alignment horizontal="center"/>
      <protection locked="0"/>
    </xf>
    <xf numFmtId="0" fontId="11" fillId="6" borderId="180" xfId="0" applyFont="1" applyFill="1" applyBorder="1" applyAlignment="1" applyProtection="1">
      <alignment horizontal="center"/>
      <protection locked="0"/>
    </xf>
    <xf numFmtId="0" fontId="11" fillId="5" borderId="180" xfId="0" applyFont="1" applyFill="1" applyBorder="1" applyAlignment="1" applyProtection="1">
      <alignment horizontal="center"/>
      <protection locked="0"/>
    </xf>
    <xf numFmtId="0" fontId="11" fillId="7" borderId="180" xfId="0" applyFont="1" applyFill="1" applyBorder="1" applyAlignment="1" applyProtection="1">
      <alignment horizontal="center"/>
      <protection locked="0"/>
    </xf>
    <xf numFmtId="0" fontId="11" fillId="8" borderId="180" xfId="0" applyFont="1" applyFill="1" applyBorder="1" applyAlignment="1" applyProtection="1">
      <alignment horizontal="center"/>
      <protection locked="0"/>
    </xf>
    <xf numFmtId="0" fontId="11" fillId="9" borderId="180" xfId="0" applyFont="1" applyFill="1" applyBorder="1" applyAlignment="1" applyProtection="1">
      <alignment horizontal="center"/>
      <protection locked="0"/>
    </xf>
    <xf numFmtId="0" fontId="11" fillId="12" borderId="180" xfId="0" applyFont="1" applyFill="1" applyBorder="1" applyAlignment="1" applyProtection="1">
      <alignment horizontal="center"/>
      <protection locked="0"/>
    </xf>
    <xf numFmtId="0" fontId="11" fillId="13" borderId="180" xfId="0" applyFont="1" applyFill="1" applyBorder="1" applyAlignment="1" applyProtection="1">
      <alignment horizontal="center"/>
      <protection locked="0"/>
    </xf>
    <xf numFmtId="0" fontId="11" fillId="4" borderId="181" xfId="0" applyFont="1" applyFill="1" applyBorder="1" applyAlignment="1" applyProtection="1">
      <alignment horizontal="center"/>
      <protection locked="0"/>
    </xf>
    <xf numFmtId="0" fontId="11" fillId="0" borderId="161" xfId="0" applyFont="1" applyBorder="1" applyAlignment="1" applyProtection="1">
      <alignment horizontal="center"/>
      <protection locked="0"/>
    </xf>
    <xf numFmtId="0" fontId="11" fillId="0" borderId="179" xfId="0" applyFont="1" applyBorder="1" applyAlignment="1" applyProtection="1">
      <alignment horizontal="center"/>
      <protection locked="0"/>
    </xf>
    <xf numFmtId="0" fontId="11" fillId="0" borderId="104" xfId="0" applyFont="1" applyBorder="1" applyAlignment="1">
      <alignment horizontal="center"/>
    </xf>
    <xf numFmtId="0" fontId="49" fillId="0" borderId="11" xfId="0" applyFont="1" applyBorder="1" applyAlignment="1">
      <alignment horizontal="center" vertical="center"/>
    </xf>
    <xf numFmtId="0" fontId="11" fillId="0" borderId="107" xfId="0" applyFont="1" applyBorder="1" applyAlignment="1">
      <alignment horizontal="center"/>
    </xf>
    <xf numFmtId="0" fontId="11" fillId="0" borderId="80" xfId="0" applyFont="1" applyBorder="1" applyAlignment="1">
      <alignment horizontal="center"/>
    </xf>
    <xf numFmtId="164" fontId="11" fillId="0" borderId="81" xfId="0" applyNumberFormat="1" applyFont="1" applyBorder="1" applyAlignment="1">
      <alignment horizontal="center"/>
    </xf>
    <xf numFmtId="0" fontId="11" fillId="0" borderId="124" xfId="0" applyFont="1" applyBorder="1" applyAlignment="1" applyProtection="1">
      <alignment horizontal="center"/>
      <protection locked="0"/>
    </xf>
    <xf numFmtId="0" fontId="11" fillId="6" borderId="125" xfId="0" applyFont="1" applyFill="1" applyBorder="1" applyAlignment="1" applyProtection="1">
      <alignment horizontal="center"/>
      <protection locked="0"/>
    </xf>
    <xf numFmtId="0" fontId="11" fillId="5" borderId="125" xfId="0" applyFont="1" applyFill="1" applyBorder="1" applyAlignment="1" applyProtection="1">
      <alignment horizontal="center"/>
      <protection locked="0"/>
    </xf>
    <xf numFmtId="0" fontId="11" fillId="7" borderId="125" xfId="0" applyFont="1" applyFill="1" applyBorder="1" applyAlignment="1" applyProtection="1">
      <alignment horizontal="center"/>
      <protection locked="0"/>
    </xf>
    <xf numFmtId="0" fontId="11" fillId="8" borderId="125" xfId="0" applyFont="1" applyFill="1" applyBorder="1" applyAlignment="1" applyProtection="1">
      <alignment horizontal="center"/>
      <protection locked="0"/>
    </xf>
    <xf numFmtId="0" fontId="11" fillId="12" borderId="125" xfId="0" applyFont="1" applyFill="1" applyBorder="1" applyAlignment="1" applyProtection="1">
      <alignment horizontal="center"/>
      <protection locked="0"/>
    </xf>
    <xf numFmtId="0" fontId="11" fillId="13" borderId="125" xfId="0" applyFont="1" applyFill="1" applyBorder="1" applyAlignment="1" applyProtection="1">
      <alignment horizontal="center"/>
      <protection locked="0"/>
    </xf>
    <xf numFmtId="0" fontId="11" fillId="4" borderId="102" xfId="0" applyFont="1" applyFill="1" applyBorder="1" applyAlignment="1" applyProtection="1">
      <alignment horizontal="center"/>
      <protection locked="0"/>
    </xf>
    <xf numFmtId="0" fontId="11" fillId="44" borderId="100" xfId="0" applyFont="1" applyFill="1" applyBorder="1" applyAlignment="1">
      <alignment horizontal="center"/>
    </xf>
    <xf numFmtId="0" fontId="11" fillId="44" borderId="167" xfId="0" applyFont="1" applyFill="1" applyBorder="1" applyAlignment="1">
      <alignment horizontal="center"/>
    </xf>
    <xf numFmtId="0" fontId="49" fillId="45" borderId="97" xfId="0" applyFont="1" applyFill="1" applyBorder="1" applyAlignment="1">
      <alignment horizontal="center" vertical="center"/>
    </xf>
    <xf numFmtId="0" fontId="11" fillId="44" borderId="7" xfId="0" applyFont="1" applyFill="1" applyBorder="1" applyAlignment="1">
      <alignment horizontal="center"/>
    </xf>
    <xf numFmtId="0" fontId="11" fillId="44" borderId="53" xfId="0" applyFont="1" applyFill="1" applyBorder="1" applyAlignment="1">
      <alignment horizontal="center"/>
    </xf>
    <xf numFmtId="164" fontId="11" fillId="44" borderId="101" xfId="0" applyNumberFormat="1" applyFont="1" applyFill="1" applyBorder="1" applyAlignment="1">
      <alignment horizontal="center"/>
    </xf>
    <xf numFmtId="0" fontId="11" fillId="44" borderId="109" xfId="0" applyFont="1" applyFill="1" applyBorder="1" applyAlignment="1">
      <alignment horizontal="center"/>
    </xf>
    <xf numFmtId="0" fontId="49" fillId="45" borderId="23" xfId="0" applyFont="1" applyFill="1" applyBorder="1" applyAlignment="1">
      <alignment horizontal="center" vertical="center"/>
    </xf>
    <xf numFmtId="164" fontId="11" fillId="44" borderId="165" xfId="0" applyNumberFormat="1" applyFont="1" applyFill="1" applyBorder="1" applyAlignment="1">
      <alignment horizontal="center"/>
    </xf>
    <xf numFmtId="0" fontId="11" fillId="44" borderId="172" xfId="0" applyFont="1" applyFill="1" applyBorder="1" applyAlignment="1">
      <alignment horizontal="center"/>
    </xf>
    <xf numFmtId="0" fontId="11" fillId="44" borderId="59" xfId="0" applyFont="1" applyFill="1" applyBorder="1" applyAlignment="1">
      <alignment horizontal="center"/>
    </xf>
    <xf numFmtId="0" fontId="49" fillId="45" borderId="35" xfId="0" applyFont="1" applyFill="1" applyBorder="1" applyAlignment="1">
      <alignment horizontal="center" vertical="center"/>
    </xf>
    <xf numFmtId="0" fontId="11" fillId="44" borderId="99" xfId="0" applyFont="1" applyFill="1" applyBorder="1" applyAlignment="1">
      <alignment horizontal="center"/>
    </xf>
    <xf numFmtId="0" fontId="11" fillId="44" borderId="173" xfId="0" applyFont="1" applyFill="1" applyBorder="1" applyAlignment="1">
      <alignment horizontal="center"/>
    </xf>
    <xf numFmtId="164" fontId="11" fillId="44" borderId="174" xfId="0" applyNumberFormat="1" applyFont="1" applyFill="1" applyBorder="1" applyAlignment="1">
      <alignment horizontal="center"/>
    </xf>
    <xf numFmtId="0" fontId="11" fillId="44" borderId="166" xfId="0" applyFont="1" applyFill="1" applyBorder="1" applyAlignment="1">
      <alignment horizontal="center"/>
    </xf>
    <xf numFmtId="0" fontId="11" fillId="44" borderId="169" xfId="0" applyFont="1" applyFill="1" applyBorder="1" applyAlignment="1">
      <alignment horizontal="center"/>
    </xf>
    <xf numFmtId="0" fontId="11" fillId="44" borderId="170" xfId="0" applyFont="1" applyFill="1" applyBorder="1" applyAlignment="1">
      <alignment horizontal="center"/>
    </xf>
    <xf numFmtId="164" fontId="11" fillId="44" borderId="171" xfId="0" applyNumberFormat="1" applyFont="1" applyFill="1" applyBorder="1" applyAlignment="1">
      <alignment horizontal="center"/>
    </xf>
    <xf numFmtId="0" fontId="11" fillId="0" borderId="169" xfId="0" applyFont="1" applyBorder="1" applyAlignment="1" applyProtection="1">
      <alignment horizontal="center"/>
      <protection locked="0"/>
    </xf>
    <xf numFmtId="0" fontId="11" fillId="44" borderId="6" xfId="0" applyFont="1" applyFill="1" applyBorder="1" applyAlignment="1">
      <alignment horizontal="center"/>
    </xf>
    <xf numFmtId="0" fontId="11" fillId="44" borderId="175" xfId="0" applyFont="1" applyFill="1" applyBorder="1" applyAlignment="1">
      <alignment horizontal="center"/>
    </xf>
    <xf numFmtId="0" fontId="49" fillId="45" borderId="98" xfId="0" applyFont="1" applyFill="1" applyBorder="1" applyAlignment="1">
      <alignment horizontal="center" vertical="center"/>
    </xf>
    <xf numFmtId="0" fontId="49" fillId="45" borderId="182" xfId="0" applyFont="1" applyFill="1" applyBorder="1" applyAlignment="1">
      <alignment horizontal="center" vertical="center"/>
    </xf>
    <xf numFmtId="0" fontId="11" fillId="44" borderId="161" xfId="0" applyFont="1" applyFill="1" applyBorder="1" applyAlignment="1">
      <alignment horizontal="center"/>
    </xf>
    <xf numFmtId="0" fontId="11" fillId="44" borderId="162" xfId="0" applyFont="1" applyFill="1" applyBorder="1" applyAlignment="1">
      <alignment horizontal="center"/>
    </xf>
    <xf numFmtId="0" fontId="49" fillId="45" borderId="118" xfId="0" applyFont="1" applyFill="1" applyBorder="1" applyAlignment="1">
      <alignment horizontal="center" vertical="center"/>
    </xf>
    <xf numFmtId="0" fontId="11" fillId="44" borderId="163" xfId="0" applyFont="1" applyFill="1" applyBorder="1" applyAlignment="1">
      <alignment horizontal="center"/>
    </xf>
    <xf numFmtId="0" fontId="11" fillId="44" borderId="164" xfId="0" applyFont="1" applyFill="1" applyBorder="1" applyAlignment="1">
      <alignment horizontal="center"/>
    </xf>
    <xf numFmtId="0" fontId="11" fillId="0" borderId="172" xfId="0" applyFont="1" applyBorder="1" applyAlignment="1" applyProtection="1">
      <alignment horizontal="center"/>
      <protection locked="0"/>
    </xf>
    <xf numFmtId="0" fontId="11" fillId="44" borderId="124" xfId="0" applyFont="1" applyFill="1" applyBorder="1" applyAlignment="1">
      <alignment horizontal="center"/>
    </xf>
    <xf numFmtId="0" fontId="11" fillId="44" borderId="120" xfId="0" applyFont="1" applyFill="1" applyBorder="1" applyAlignment="1">
      <alignment horizontal="center"/>
    </xf>
    <xf numFmtId="0" fontId="11" fillId="44" borderId="125" xfId="0" applyFont="1" applyFill="1" applyBorder="1" applyAlignment="1">
      <alignment horizontal="center"/>
    </xf>
    <xf numFmtId="164" fontId="11" fillId="44" borderId="109" xfId="0" applyNumberFormat="1" applyFont="1" applyFill="1" applyBorder="1" applyAlignment="1">
      <alignment horizontal="center"/>
    </xf>
    <xf numFmtId="0" fontId="11" fillId="46" borderId="100" xfId="0" applyFont="1" applyFill="1" applyBorder="1" applyAlignment="1">
      <alignment horizontal="center"/>
    </xf>
    <xf numFmtId="0" fontId="11" fillId="46" borderId="167" xfId="0" applyFont="1" applyFill="1" applyBorder="1" applyAlignment="1">
      <alignment horizontal="center"/>
    </xf>
    <xf numFmtId="0" fontId="49" fillId="21" borderId="97" xfId="0" applyFont="1" applyFill="1" applyBorder="1" applyAlignment="1">
      <alignment horizontal="center" vertical="center"/>
    </xf>
    <xf numFmtId="0" fontId="11" fillId="46" borderId="7" xfId="0" applyFont="1" applyFill="1" applyBorder="1" applyAlignment="1">
      <alignment horizontal="center"/>
    </xf>
    <xf numFmtId="0" fontId="11" fillId="46" borderId="53" xfId="0" applyFont="1" applyFill="1" applyBorder="1" applyAlignment="1">
      <alignment horizontal="center"/>
    </xf>
    <xf numFmtId="164" fontId="11" fillId="46" borderId="101" xfId="0" applyNumberFormat="1" applyFont="1" applyFill="1" applyBorder="1" applyAlignment="1">
      <alignment horizontal="center"/>
    </xf>
    <xf numFmtId="0" fontId="11" fillId="46" borderId="109" xfId="0" applyFont="1" applyFill="1" applyBorder="1" applyAlignment="1">
      <alignment horizontal="center"/>
    </xf>
    <xf numFmtId="0" fontId="49" fillId="21" borderId="23" xfId="0" applyFont="1" applyFill="1" applyBorder="1" applyAlignment="1">
      <alignment horizontal="center" vertical="center"/>
    </xf>
    <xf numFmtId="164" fontId="11" fillId="46" borderId="102" xfId="0" applyNumberFormat="1" applyFont="1" applyFill="1" applyBorder="1" applyAlignment="1">
      <alignment horizontal="center"/>
    </xf>
    <xf numFmtId="0" fontId="11" fillId="46" borderId="172" xfId="0" applyFont="1" applyFill="1" applyBorder="1" applyAlignment="1">
      <alignment horizontal="center"/>
    </xf>
    <xf numFmtId="0" fontId="11" fillId="46" borderId="59" xfId="0" applyFont="1" applyFill="1" applyBorder="1" applyAlignment="1">
      <alignment horizontal="center"/>
    </xf>
    <xf numFmtId="0" fontId="49" fillId="21" borderId="35" xfId="0" applyFont="1" applyFill="1" applyBorder="1" applyAlignment="1">
      <alignment horizontal="center" vertical="center"/>
    </xf>
    <xf numFmtId="0" fontId="11" fillId="46" borderId="99" xfId="0" applyFont="1" applyFill="1" applyBorder="1" applyAlignment="1">
      <alignment horizontal="center"/>
    </xf>
    <xf numFmtId="0" fontId="11" fillId="46" borderId="173" xfId="0" applyFont="1" applyFill="1" applyBorder="1" applyAlignment="1">
      <alignment horizontal="center"/>
    </xf>
    <xf numFmtId="164" fontId="11" fillId="46" borderId="174" xfId="0" applyNumberFormat="1" applyFont="1" applyFill="1" applyBorder="1" applyAlignment="1">
      <alignment horizontal="center"/>
    </xf>
    <xf numFmtId="0" fontId="11" fillId="46" borderId="166" xfId="0" applyFont="1" applyFill="1" applyBorder="1" applyAlignment="1">
      <alignment horizontal="center"/>
    </xf>
    <xf numFmtId="0" fontId="49" fillId="21" borderId="168" xfId="0" applyFont="1" applyFill="1" applyBorder="1" applyAlignment="1">
      <alignment horizontal="center" vertical="center"/>
    </xf>
    <xf numFmtId="0" fontId="11" fillId="46" borderId="169" xfId="0" applyFont="1" applyFill="1" applyBorder="1" applyAlignment="1">
      <alignment horizontal="center"/>
    </xf>
    <xf numFmtId="0" fontId="11" fillId="46" borderId="170" xfId="0" applyFont="1" applyFill="1" applyBorder="1" applyAlignment="1">
      <alignment horizontal="center"/>
    </xf>
    <xf numFmtId="164" fontId="11" fillId="46" borderId="171" xfId="0" applyNumberFormat="1" applyFont="1" applyFill="1" applyBorder="1" applyAlignment="1">
      <alignment horizontal="center"/>
    </xf>
    <xf numFmtId="0" fontId="11" fillId="46" borderId="6" xfId="0" applyFont="1" applyFill="1" applyBorder="1" applyAlignment="1">
      <alignment horizontal="center"/>
    </xf>
    <xf numFmtId="0" fontId="11" fillId="46" borderId="175" xfId="0" applyFont="1" applyFill="1" applyBorder="1" applyAlignment="1">
      <alignment horizontal="center"/>
    </xf>
    <xf numFmtId="0" fontId="49" fillId="21" borderId="98" xfId="0" applyFont="1" applyFill="1" applyBorder="1" applyAlignment="1">
      <alignment horizontal="center" vertical="center"/>
    </xf>
    <xf numFmtId="0" fontId="49" fillId="21" borderId="182" xfId="0" applyFont="1" applyFill="1" applyBorder="1" applyAlignment="1">
      <alignment horizontal="center" vertical="center"/>
    </xf>
    <xf numFmtId="0" fontId="49" fillId="21" borderId="122" xfId="0" applyFont="1" applyFill="1" applyBorder="1" applyAlignment="1">
      <alignment horizontal="center" vertical="center"/>
    </xf>
    <xf numFmtId="0" fontId="11" fillId="46" borderId="161" xfId="0" applyFont="1" applyFill="1" applyBorder="1" applyAlignment="1">
      <alignment horizontal="center"/>
    </xf>
    <xf numFmtId="0" fontId="11" fillId="46" borderId="162" xfId="0" applyFont="1" applyFill="1" applyBorder="1" applyAlignment="1">
      <alignment horizontal="center"/>
    </xf>
    <xf numFmtId="0" fontId="49" fillId="21" borderId="118" xfId="0" applyFont="1" applyFill="1" applyBorder="1" applyAlignment="1">
      <alignment horizontal="center" vertical="center"/>
    </xf>
    <xf numFmtId="0" fontId="11" fillId="46" borderId="163" xfId="0" applyFont="1" applyFill="1" applyBorder="1" applyAlignment="1">
      <alignment horizontal="center"/>
    </xf>
    <xf numFmtId="0" fontId="11" fillId="46" borderId="164" xfId="0" applyFont="1" applyFill="1" applyBorder="1" applyAlignment="1">
      <alignment horizontal="center"/>
    </xf>
    <xf numFmtId="164" fontId="11" fillId="46" borderId="165" xfId="0" applyNumberFormat="1" applyFont="1" applyFill="1" applyBorder="1" applyAlignment="1">
      <alignment horizontal="center"/>
    </xf>
    <xf numFmtId="0" fontId="11" fillId="46" borderId="104" xfId="0" applyFont="1" applyFill="1" applyBorder="1" applyAlignment="1">
      <alignment horizontal="center"/>
    </xf>
    <xf numFmtId="0" fontId="11" fillId="46" borderId="81" xfId="0" applyFont="1" applyFill="1" applyBorder="1" applyAlignment="1">
      <alignment horizontal="center"/>
    </xf>
    <xf numFmtId="0" fontId="49" fillId="21" borderId="11" xfId="0" applyFont="1" applyFill="1" applyBorder="1" applyAlignment="1">
      <alignment horizontal="center" vertical="center"/>
    </xf>
    <xf numFmtId="0" fontId="11" fillId="46" borderId="107" xfId="0" applyFont="1" applyFill="1" applyBorder="1" applyAlignment="1">
      <alignment horizontal="center"/>
    </xf>
    <xf numFmtId="0" fontId="11" fillId="46" borderId="80" xfId="0" applyFont="1" applyFill="1" applyBorder="1" applyAlignment="1">
      <alignment horizontal="center"/>
    </xf>
    <xf numFmtId="164" fontId="11" fillId="46" borderId="81" xfId="0" applyNumberFormat="1" applyFont="1" applyFill="1" applyBorder="1" applyAlignment="1">
      <alignment horizontal="center"/>
    </xf>
    <xf numFmtId="0" fontId="11" fillId="0" borderId="104" xfId="0" applyFont="1" applyBorder="1" applyAlignment="1" applyProtection="1">
      <alignment horizontal="center"/>
      <protection locked="0"/>
    </xf>
    <xf numFmtId="0" fontId="11" fillId="4" borderId="114" xfId="0" applyFont="1" applyFill="1" applyBorder="1" applyAlignment="1" applyProtection="1">
      <alignment horizontal="center"/>
      <protection locked="0"/>
    </xf>
    <xf numFmtId="0" fontId="6" fillId="0" borderId="113" xfId="0" applyFont="1" applyBorder="1" applyAlignment="1">
      <alignment horizontal="center"/>
    </xf>
    <xf numFmtId="0" fontId="6" fillId="0" borderId="262" xfId="0" applyFont="1" applyBorder="1" applyAlignment="1">
      <alignment horizontal="center"/>
    </xf>
    <xf numFmtId="0" fontId="14" fillId="34" borderId="155" xfId="0" applyFont="1" applyFill="1" applyBorder="1" applyAlignment="1">
      <alignment horizontal="center" vertical="center"/>
    </xf>
    <xf numFmtId="165" fontId="14" fillId="34" borderId="156" xfId="0" applyNumberFormat="1" applyFont="1" applyFill="1" applyBorder="1" applyAlignment="1">
      <alignment horizontal="center" vertical="center"/>
    </xf>
    <xf numFmtId="164" fontId="14" fillId="34" borderId="157" xfId="0" applyNumberFormat="1" applyFont="1" applyFill="1" applyBorder="1" applyAlignment="1">
      <alignment horizontal="center" vertical="center"/>
    </xf>
    <xf numFmtId="0" fontId="6" fillId="34" borderId="264" xfId="0" applyFont="1" applyFill="1" applyBorder="1" applyAlignment="1">
      <alignment horizontal="center" vertical="center"/>
    </xf>
    <xf numFmtId="164" fontId="6" fillId="34" borderId="265" xfId="0" applyNumberFormat="1" applyFont="1" applyFill="1" applyBorder="1" applyAlignment="1">
      <alignment horizontal="center" vertical="center"/>
    </xf>
    <xf numFmtId="0" fontId="6" fillId="34" borderId="263" xfId="0" applyFont="1" applyFill="1" applyBorder="1" applyAlignment="1">
      <alignment horizontal="center" vertical="center"/>
    </xf>
    <xf numFmtId="0" fontId="6" fillId="0" borderId="103" xfId="0" applyFont="1" applyBorder="1" applyAlignment="1">
      <alignment horizontal="center"/>
    </xf>
    <xf numFmtId="0" fontId="0" fillId="21" borderId="0" xfId="0" applyFill="1"/>
    <xf numFmtId="0" fontId="2" fillId="43" borderId="1" xfId="0" applyFont="1" applyFill="1" applyBorder="1"/>
    <xf numFmtId="0" fontId="3" fillId="21" borderId="23" xfId="0" applyFont="1" applyFill="1" applyBorder="1"/>
    <xf numFmtId="0" fontId="3" fillId="21" borderId="0" xfId="0" applyFont="1" applyFill="1"/>
    <xf numFmtId="0" fontId="5" fillId="43" borderId="1" xfId="0" applyFont="1" applyFill="1" applyBorder="1" applyAlignment="1">
      <alignment horizontal="center"/>
    </xf>
    <xf numFmtId="0" fontId="5" fillId="43" borderId="1" xfId="0" applyFont="1" applyFill="1" applyBorder="1" applyAlignment="1">
      <alignment horizontal="center" vertical="center"/>
    </xf>
    <xf numFmtId="0" fontId="2" fillId="43" borderId="1" xfId="0" applyFont="1" applyFill="1" applyBorder="1" applyAlignment="1">
      <alignment vertical="center"/>
    </xf>
    <xf numFmtId="0" fontId="5" fillId="43" borderId="23" xfId="0" applyFont="1" applyFill="1" applyBorder="1" applyAlignment="1">
      <alignment horizontal="center"/>
    </xf>
    <xf numFmtId="0" fontId="5" fillId="43" borderId="23" xfId="0" applyFont="1" applyFill="1" applyBorder="1" applyAlignment="1">
      <alignment horizontal="center" vertical="center"/>
    </xf>
    <xf numFmtId="0" fontId="2" fillId="21" borderId="0" xfId="0" applyFont="1" applyFill="1"/>
    <xf numFmtId="164" fontId="5" fillId="43" borderId="1" xfId="0" applyNumberFormat="1" applyFont="1" applyFill="1" applyBorder="1" applyAlignment="1">
      <alignment horizontal="center" vertical="center"/>
    </xf>
    <xf numFmtId="0" fontId="2" fillId="43" borderId="1" xfId="0" applyFont="1" applyFill="1" applyBorder="1" applyAlignment="1">
      <alignment horizontal="center"/>
    </xf>
    <xf numFmtId="0" fontId="14" fillId="34" borderId="156" xfId="0" applyFont="1" applyFill="1" applyBorder="1" applyAlignment="1">
      <alignment horizontal="center" vertical="center"/>
    </xf>
    <xf numFmtId="165" fontId="8" fillId="4" borderId="26" xfId="0" applyNumberFormat="1" applyFont="1" applyFill="1" applyBorder="1" applyAlignment="1">
      <alignment horizontal="center" vertical="center"/>
    </xf>
    <xf numFmtId="165" fontId="8" fillId="3" borderId="26" xfId="0" applyNumberFormat="1" applyFont="1" applyFill="1" applyBorder="1" applyAlignment="1">
      <alignment horizontal="center"/>
    </xf>
    <xf numFmtId="0" fontId="1" fillId="21" borderId="251" xfId="0" applyFont="1" applyFill="1" applyBorder="1" applyAlignment="1">
      <alignment horizontal="center" vertical="center"/>
    </xf>
    <xf numFmtId="0" fontId="1" fillId="21" borderId="256" xfId="0" applyFont="1" applyFill="1" applyBorder="1" applyAlignment="1">
      <alignment horizontal="center" vertical="center"/>
    </xf>
    <xf numFmtId="0" fontId="52" fillId="21" borderId="258" xfId="0" applyFont="1" applyFill="1" applyBorder="1" applyAlignment="1">
      <alignment horizontal="center" vertical="center"/>
    </xf>
    <xf numFmtId="0" fontId="52" fillId="0" borderId="259" xfId="0" applyFont="1" applyBorder="1" applyAlignment="1">
      <alignment horizontal="center" vertical="center"/>
    </xf>
    <xf numFmtId="0" fontId="6" fillId="34" borderId="253" xfId="0" applyFont="1" applyFill="1" applyBorder="1" applyAlignment="1">
      <alignment vertical="center"/>
    </xf>
    <xf numFmtId="0" fontId="0" fillId="0" borderId="254" xfId="0" applyBorder="1" applyAlignment="1">
      <alignment vertical="center"/>
    </xf>
    <xf numFmtId="0" fontId="6" fillId="34" borderId="205" xfId="0" applyFont="1" applyFill="1" applyBorder="1" applyAlignment="1">
      <alignment horizontal="center" vertical="center"/>
    </xf>
    <xf numFmtId="0" fontId="48" fillId="0" borderId="97" xfId="0" applyFont="1" applyBorder="1" applyAlignment="1">
      <alignment horizontal="center" vertical="center"/>
    </xf>
    <xf numFmtId="0" fontId="6" fillId="34" borderId="205" xfId="0" applyFont="1" applyFill="1" applyBorder="1" applyAlignment="1">
      <alignment horizontal="center" vertical="center" wrapText="1"/>
    </xf>
    <xf numFmtId="0" fontId="48" fillId="0" borderId="97" xfId="0" applyFont="1" applyBorder="1" applyAlignment="1">
      <alignment horizontal="center" vertical="center" wrapText="1"/>
    </xf>
    <xf numFmtId="0" fontId="6" fillId="34" borderId="255" xfId="0" applyFont="1" applyFill="1" applyBorder="1" applyAlignment="1">
      <alignment horizontal="center" vertical="center"/>
    </xf>
    <xf numFmtId="0" fontId="48" fillId="0" borderId="149" xfId="0" applyFont="1" applyBorder="1" applyAlignment="1">
      <alignment horizontal="center" vertical="center"/>
    </xf>
    <xf numFmtId="0" fontId="26" fillId="34" borderId="152" xfId="0" applyFont="1" applyFill="1" applyBorder="1" applyAlignment="1">
      <alignment horizontal="center" vertical="center"/>
    </xf>
    <xf numFmtId="0" fontId="27" fillId="21" borderId="153" xfId="0" applyFont="1" applyFill="1" applyBorder="1" applyAlignment="1">
      <alignment vertical="center"/>
    </xf>
    <xf numFmtId="0" fontId="27" fillId="21" borderId="154" xfId="0" applyFont="1" applyFill="1" applyBorder="1" applyAlignment="1">
      <alignment vertical="center"/>
    </xf>
    <xf numFmtId="0" fontId="27" fillId="21" borderId="155" xfId="0" applyFont="1" applyFill="1" applyBorder="1" applyAlignment="1">
      <alignment vertical="center"/>
    </xf>
    <xf numFmtId="0" fontId="27" fillId="21" borderId="156" xfId="0" applyFont="1" applyFill="1" applyBorder="1" applyAlignment="1">
      <alignment vertical="center"/>
    </xf>
    <xf numFmtId="0" fontId="27" fillId="21" borderId="157" xfId="0" applyFont="1" applyFill="1" applyBorder="1" applyAlignment="1">
      <alignment vertical="center"/>
    </xf>
    <xf numFmtId="14" fontId="5" fillId="62" borderId="132" xfId="0" applyNumberFormat="1" applyFont="1" applyFill="1" applyBorder="1" applyAlignment="1">
      <alignment horizontal="center" vertical="center"/>
    </xf>
    <xf numFmtId="0" fontId="4" fillId="21" borderId="131" xfId="0" applyFont="1" applyFill="1" applyBorder="1" applyAlignment="1">
      <alignment vertical="center"/>
    </xf>
    <xf numFmtId="0" fontId="36" fillId="34" borderId="134" xfId="0" applyFont="1" applyFill="1" applyBorder="1" applyAlignment="1">
      <alignment horizontal="center" vertical="center"/>
    </xf>
    <xf numFmtId="0" fontId="37" fillId="21" borderId="135" xfId="0" applyFont="1" applyFill="1" applyBorder="1" applyAlignment="1">
      <alignment vertical="center"/>
    </xf>
    <xf numFmtId="0" fontId="37" fillId="21" borderId="144" xfId="0" applyFont="1" applyFill="1" applyBorder="1" applyAlignment="1">
      <alignment vertical="center"/>
    </xf>
    <xf numFmtId="0" fontId="36" fillId="34" borderId="135" xfId="0" applyFont="1" applyFill="1" applyBorder="1" applyAlignment="1">
      <alignment horizontal="center" vertical="center"/>
    </xf>
    <xf numFmtId="0" fontId="37" fillId="21" borderId="136" xfId="0" applyFont="1" applyFill="1" applyBorder="1" applyAlignment="1">
      <alignment vertical="center"/>
    </xf>
    <xf numFmtId="0" fontId="2" fillId="45" borderId="14" xfId="0" applyFont="1" applyFill="1" applyBorder="1" applyAlignment="1" applyProtection="1">
      <alignment vertical="center"/>
      <protection locked="0"/>
    </xf>
    <xf numFmtId="0" fontId="4" fillId="45" borderId="14" xfId="0" applyFont="1" applyFill="1" applyBorder="1" applyAlignment="1" applyProtection="1">
      <alignment vertical="center"/>
      <protection locked="0"/>
    </xf>
    <xf numFmtId="0" fontId="4" fillId="45" borderId="12" xfId="0" applyFont="1" applyFill="1" applyBorder="1" applyAlignment="1" applyProtection="1">
      <alignment vertical="center"/>
      <protection locked="0"/>
    </xf>
    <xf numFmtId="0" fontId="2" fillId="63" borderId="14" xfId="0" applyFont="1" applyFill="1" applyBorder="1" applyAlignment="1" applyProtection="1">
      <alignment vertical="center"/>
      <protection locked="0"/>
    </xf>
    <xf numFmtId="0" fontId="4" fillId="45" borderId="146" xfId="0" applyFont="1" applyFill="1" applyBorder="1" applyAlignment="1" applyProtection="1">
      <alignment vertical="center"/>
      <protection locked="0"/>
    </xf>
    <xf numFmtId="0" fontId="7" fillId="34" borderId="134" xfId="0" applyFont="1" applyFill="1" applyBorder="1" applyAlignment="1">
      <alignment horizontal="center" vertical="center"/>
    </xf>
    <xf numFmtId="0" fontId="4" fillId="21" borderId="135" xfId="0" applyFont="1" applyFill="1" applyBorder="1" applyAlignment="1">
      <alignment vertical="center"/>
    </xf>
    <xf numFmtId="0" fontId="4" fillId="21" borderId="136" xfId="0" applyFont="1" applyFill="1" applyBorder="1" applyAlignment="1">
      <alignment vertical="center"/>
    </xf>
    <xf numFmtId="0" fontId="2" fillId="45" borderId="19" xfId="0" applyFont="1" applyFill="1" applyBorder="1" applyAlignment="1" applyProtection="1">
      <alignment vertical="center"/>
      <protection locked="0"/>
    </xf>
    <xf numFmtId="0" fontId="4" fillId="45" borderId="19" xfId="0" applyFont="1" applyFill="1" applyBorder="1" applyAlignment="1" applyProtection="1">
      <alignment vertical="center"/>
      <protection locked="0"/>
    </xf>
    <xf numFmtId="0" fontId="4" fillId="45" borderId="17" xfId="0" applyFont="1" applyFill="1" applyBorder="1" applyAlignment="1" applyProtection="1">
      <alignment vertical="center"/>
      <protection locked="0"/>
    </xf>
    <xf numFmtId="0" fontId="2" fillId="63" borderId="19" xfId="0" applyFont="1" applyFill="1" applyBorder="1" applyAlignment="1" applyProtection="1">
      <alignment vertical="center"/>
      <protection locked="0"/>
    </xf>
    <xf numFmtId="0" fontId="4" fillId="45" borderId="148" xfId="0" applyFont="1" applyFill="1" applyBorder="1" applyAlignment="1" applyProtection="1">
      <alignment vertical="center"/>
      <protection locked="0"/>
    </xf>
    <xf numFmtId="0" fontId="2" fillId="63" borderId="97" xfId="0" applyFont="1" applyFill="1" applyBorder="1" applyAlignment="1" applyProtection="1">
      <alignment vertical="center"/>
      <protection locked="0"/>
    </xf>
    <xf numFmtId="0" fontId="4" fillId="45" borderId="97" xfId="0" applyFont="1" applyFill="1" applyBorder="1" applyAlignment="1" applyProtection="1">
      <alignment vertical="center"/>
      <protection locked="0"/>
    </xf>
    <xf numFmtId="0" fontId="4" fillId="45" borderId="149" xfId="0" applyFont="1" applyFill="1" applyBorder="1" applyAlignment="1" applyProtection="1">
      <alignment vertical="center"/>
      <protection locked="0"/>
    </xf>
    <xf numFmtId="0" fontId="2" fillId="45" borderId="142" xfId="0" applyFont="1" applyFill="1" applyBorder="1" applyAlignment="1" applyProtection="1">
      <alignment vertical="center"/>
      <protection locked="0"/>
    </xf>
    <xf numFmtId="0" fontId="4" fillId="45" borderId="142" xfId="0" applyFont="1" applyFill="1" applyBorder="1" applyAlignment="1" applyProtection="1">
      <alignment vertical="center"/>
      <protection locked="0"/>
    </xf>
    <xf numFmtId="0" fontId="4" fillId="45" borderId="150" xfId="0" applyFont="1" applyFill="1" applyBorder="1" applyAlignment="1" applyProtection="1">
      <alignment vertical="center"/>
      <protection locked="0"/>
    </xf>
    <xf numFmtId="0" fontId="2" fillId="63" borderId="142" xfId="0" applyFont="1" applyFill="1" applyBorder="1" applyAlignment="1" applyProtection="1">
      <alignment vertical="center"/>
      <protection locked="0"/>
    </xf>
    <xf numFmtId="0" fontId="4" fillId="45" borderId="143" xfId="0" applyFont="1" applyFill="1" applyBorder="1" applyAlignment="1" applyProtection="1">
      <alignment vertical="center"/>
      <protection locked="0"/>
    </xf>
    <xf numFmtId="0" fontId="52" fillId="21" borderId="249" xfId="0" applyFont="1" applyFill="1" applyBorder="1" applyAlignment="1">
      <alignment horizontal="center" vertical="center"/>
    </xf>
    <xf numFmtId="0" fontId="52" fillId="0" borderId="250" xfId="0" applyFont="1" applyBorder="1" applyAlignment="1">
      <alignment horizontal="center" vertical="center"/>
    </xf>
    <xf numFmtId="0" fontId="28" fillId="0" borderId="0" xfId="0" applyFont="1" applyAlignment="1">
      <alignment horizontal="right" vertical="top"/>
    </xf>
    <xf numFmtId="0" fontId="35" fillId="0" borderId="0" xfId="0" applyFont="1" applyAlignment="1">
      <alignment horizontal="right" vertical="top"/>
    </xf>
    <xf numFmtId="0" fontId="8" fillId="4" borderId="24" xfId="0" applyFont="1" applyFill="1" applyBorder="1" applyAlignment="1">
      <alignment horizontal="center" vertical="center"/>
    </xf>
    <xf numFmtId="0" fontId="50" fillId="0" borderId="16" xfId="0" applyFont="1" applyBorder="1"/>
    <xf numFmtId="0" fontId="50" fillId="0" borderId="25" xfId="0" applyFont="1" applyBorder="1"/>
    <xf numFmtId="0" fontId="5" fillId="22" borderId="23" xfId="0" applyFont="1" applyFill="1" applyBorder="1" applyAlignment="1">
      <alignment horizontal="center" vertical="center"/>
    </xf>
    <xf numFmtId="0" fontId="4" fillId="23" borderId="23" xfId="0" applyFont="1" applyFill="1" applyBorder="1"/>
    <xf numFmtId="0" fontId="29" fillId="0" borderId="0" xfId="0" applyFont="1"/>
    <xf numFmtId="0" fontId="2" fillId="0" borderId="0" xfId="0" applyFont="1"/>
    <xf numFmtId="0" fontId="0" fillId="0" borderId="0" xfId="0"/>
    <xf numFmtId="0" fontId="5" fillId="4" borderId="24" xfId="0" applyFont="1" applyFill="1" applyBorder="1" applyAlignment="1">
      <alignment horizontal="center" vertical="center"/>
    </xf>
    <xf numFmtId="0" fontId="53" fillId="0" borderId="16" xfId="0" applyFont="1" applyBorder="1"/>
    <xf numFmtId="0" fontId="53" fillId="0" borderId="25" xfId="0" applyFont="1" applyBorder="1"/>
    <xf numFmtId="0" fontId="17" fillId="2" borderId="21" xfId="0" applyFont="1" applyFill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/>
    <xf numFmtId="9" fontId="17" fillId="2" borderId="21" xfId="0" applyNumberFormat="1" applyFont="1" applyFill="1" applyBorder="1" applyAlignment="1">
      <alignment horizontal="center" vertical="center"/>
    </xf>
    <xf numFmtId="164" fontId="5" fillId="4" borderId="67" xfId="0" applyNumberFormat="1" applyFont="1" applyFill="1" applyBorder="1" applyAlignment="1">
      <alignment horizontal="center" vertical="center"/>
    </xf>
    <xf numFmtId="0" fontId="53" fillId="0" borderId="19" xfId="0" applyFont="1" applyBorder="1"/>
    <xf numFmtId="0" fontId="53" fillId="0" borderId="105" xfId="0" applyFont="1" applyBorder="1"/>
    <xf numFmtId="0" fontId="4" fillId="0" borderId="27" xfId="0" applyFont="1" applyBorder="1"/>
    <xf numFmtId="0" fontId="2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2" fillId="0" borderId="31" xfId="0" applyFont="1" applyBorder="1"/>
    <xf numFmtId="0" fontId="9" fillId="0" borderId="2" xfId="0" applyFont="1" applyBorder="1"/>
    <xf numFmtId="0" fontId="4" fillId="0" borderId="2" xfId="0" applyFont="1" applyBorder="1"/>
    <xf numFmtId="0" fontId="0" fillId="67" borderId="0" xfId="0" applyFill="1" applyAlignment="1">
      <alignment horizontal="center"/>
    </xf>
    <xf numFmtId="0" fontId="0" fillId="0" borderId="0" xfId="0" applyAlignment="1">
      <alignment horizontal="center"/>
    </xf>
    <xf numFmtId="0" fontId="6" fillId="0" borderId="222" xfId="0" applyFont="1" applyBorder="1" applyAlignment="1">
      <alignment horizontal="center"/>
    </xf>
    <xf numFmtId="0" fontId="52" fillId="0" borderId="222" xfId="0" applyFont="1" applyBorder="1" applyAlignment="1">
      <alignment horizontal="center"/>
    </xf>
    <xf numFmtId="0" fontId="13" fillId="0" borderId="122" xfId="0" applyFont="1" applyBorder="1" applyAlignment="1">
      <alignment horizontal="center"/>
    </xf>
    <xf numFmtId="0" fontId="0" fillId="0" borderId="122" xfId="0" applyBorder="1" applyAlignment="1">
      <alignment horizontal="center"/>
    </xf>
    <xf numFmtId="0" fontId="46" fillId="67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21" xfId="0" applyFont="1" applyFill="1" applyBorder="1" applyAlignment="1">
      <alignment horizontal="center"/>
    </xf>
    <xf numFmtId="0" fontId="4" fillId="0" borderId="16" xfId="0" applyFont="1" applyBorder="1"/>
    <xf numFmtId="0" fontId="4" fillId="0" borderId="25" xfId="0" applyFont="1" applyBorder="1"/>
    <xf numFmtId="14" fontId="5" fillId="4" borderId="24" xfId="0" applyNumberFormat="1" applyFont="1" applyFill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51" fillId="0" borderId="16" xfId="0" applyFont="1" applyBorder="1"/>
    <xf numFmtId="0" fontId="51" fillId="0" borderId="25" xfId="0" applyFont="1" applyBorder="1"/>
    <xf numFmtId="0" fontId="2" fillId="18" borderId="8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15" fillId="18" borderId="72" xfId="0" applyFont="1" applyFill="1" applyBorder="1" applyAlignment="1">
      <alignment horizontal="center" vertical="center"/>
    </xf>
    <xf numFmtId="0" fontId="4" fillId="0" borderId="11" xfId="0" applyFont="1" applyBorder="1"/>
    <xf numFmtId="0" fontId="13" fillId="18" borderId="21" xfId="0" applyFont="1" applyFill="1" applyBorder="1"/>
    <xf numFmtId="0" fontId="15" fillId="18" borderId="192" xfId="0" applyFont="1" applyFill="1" applyBorder="1" applyAlignment="1">
      <alignment horizontal="center" vertical="center"/>
    </xf>
    <xf numFmtId="0" fontId="13" fillId="18" borderId="23" xfId="0" applyFont="1" applyFill="1" applyBorder="1"/>
    <xf numFmtId="0" fontId="12" fillId="18" borderId="39" xfId="0" applyFont="1" applyFill="1" applyBorder="1" applyAlignment="1">
      <alignment horizontal="center" vertical="center"/>
    </xf>
    <xf numFmtId="0" fontId="4" fillId="0" borderId="40" xfId="0" applyFont="1" applyBorder="1"/>
    <xf numFmtId="0" fontId="4" fillId="0" borderId="41" xfId="0" applyFont="1" applyBorder="1"/>
    <xf numFmtId="0" fontId="5" fillId="4" borderId="67" xfId="0" applyFont="1" applyFill="1" applyBorder="1" applyAlignment="1">
      <alignment horizontal="center" vertical="center"/>
    </xf>
    <xf numFmtId="0" fontId="2" fillId="0" borderId="23" xfId="0" applyFont="1" applyBorder="1"/>
    <xf numFmtId="0" fontId="6" fillId="0" borderId="121" xfId="0" applyFont="1" applyBorder="1" applyAlignment="1">
      <alignment horizontal="center"/>
    </xf>
    <xf numFmtId="0" fontId="52" fillId="0" borderId="122" xfId="0" applyFont="1" applyBorder="1" applyAlignment="1">
      <alignment horizontal="center"/>
    </xf>
    <xf numFmtId="0" fontId="52" fillId="0" borderId="123" xfId="0" applyFont="1" applyBorder="1" applyAlignment="1">
      <alignment horizontal="center"/>
    </xf>
    <xf numFmtId="0" fontId="14" fillId="0" borderId="222" xfId="0" applyFont="1" applyBorder="1" applyAlignment="1">
      <alignment horizontal="center"/>
    </xf>
    <xf numFmtId="0" fontId="40" fillId="0" borderId="222" xfId="0" applyFont="1" applyBorder="1" applyAlignment="1">
      <alignment horizontal="center"/>
    </xf>
    <xf numFmtId="0" fontId="2" fillId="0" borderId="201" xfId="0" applyFont="1" applyBorder="1" applyAlignment="1">
      <alignment horizontal="center"/>
    </xf>
    <xf numFmtId="0" fontId="0" fillId="0" borderId="202" xfId="0" applyBorder="1" applyAlignment="1">
      <alignment horizontal="center"/>
    </xf>
    <xf numFmtId="0" fontId="0" fillId="0" borderId="203" xfId="0" applyBorder="1" applyAlignment="1">
      <alignment horizontal="center"/>
    </xf>
    <xf numFmtId="0" fontId="15" fillId="18" borderId="39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right" vertical="top"/>
    </xf>
    <xf numFmtId="164" fontId="5" fillId="4" borderId="24" xfId="0" applyNumberFormat="1" applyFont="1" applyFill="1" applyBorder="1" applyAlignment="1">
      <alignment horizontal="center" vertical="center"/>
    </xf>
    <xf numFmtId="0" fontId="5" fillId="24" borderId="97" xfId="0" applyFont="1" applyFill="1" applyBorder="1" applyAlignment="1">
      <alignment horizontal="center"/>
    </xf>
    <xf numFmtId="0" fontId="4" fillId="23" borderId="97" xfId="0" applyFont="1" applyFill="1" applyBorder="1"/>
    <xf numFmtId="14" fontId="5" fillId="24" borderId="97" xfId="0" applyNumberFormat="1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50" fillId="0" borderId="19" xfId="0" applyFont="1" applyBorder="1"/>
    <xf numFmtId="0" fontId="5" fillId="3" borderId="24" xfId="0" applyFont="1" applyFill="1" applyBorder="1" applyAlignment="1">
      <alignment horizontal="center"/>
    </xf>
    <xf numFmtId="14" fontId="5" fillId="3" borderId="24" xfId="0" applyNumberFormat="1" applyFont="1" applyFill="1" applyBorder="1" applyAlignment="1">
      <alignment horizontal="center"/>
    </xf>
    <xf numFmtId="0" fontId="9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4" fillId="0" borderId="24" xfId="0" applyFont="1" applyBorder="1" applyAlignment="1">
      <alignment horizontal="center"/>
    </xf>
    <xf numFmtId="0" fontId="15" fillId="18" borderId="261" xfId="0" applyFont="1" applyFill="1" applyBorder="1" applyAlignment="1">
      <alignment horizontal="center" vertical="center"/>
    </xf>
    <xf numFmtId="0" fontId="4" fillId="0" borderId="188" xfId="0" applyFont="1" applyBorder="1"/>
    <xf numFmtId="0" fontId="2" fillId="18" borderId="188" xfId="0" applyFont="1" applyFill="1" applyBorder="1"/>
    <xf numFmtId="0" fontId="4" fillId="0" borderId="210" xfId="0" applyFont="1" applyBorder="1"/>
    <xf numFmtId="0" fontId="41" fillId="0" borderId="121" xfId="0" applyFont="1" applyBorder="1" applyAlignment="1">
      <alignment horizontal="center" vertical="center"/>
    </xf>
    <xf numFmtId="0" fontId="54" fillId="0" borderId="123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/>
    </xf>
    <xf numFmtId="0" fontId="0" fillId="0" borderId="123" xfId="0" applyBorder="1" applyAlignment="1">
      <alignment horizontal="center"/>
    </xf>
    <xf numFmtId="0" fontId="2" fillId="0" borderId="97" xfId="0" applyFont="1" applyBorder="1"/>
    <xf numFmtId="0" fontId="4" fillId="0" borderId="97" xfId="0" applyFont="1" applyBorder="1"/>
    <xf numFmtId="0" fontId="5" fillId="24" borderId="23" xfId="0" applyFont="1" applyFill="1" applyBorder="1" applyAlignment="1">
      <alignment horizontal="center"/>
    </xf>
    <xf numFmtId="14" fontId="5" fillId="24" borderId="23" xfId="0" applyNumberFormat="1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 vertical="center"/>
    </xf>
    <xf numFmtId="0" fontId="50" fillId="21" borderId="19" xfId="0" applyFont="1" applyFill="1" applyBorder="1"/>
    <xf numFmtId="0" fontId="21" fillId="21" borderId="121" xfId="0" applyFont="1" applyFill="1" applyBorder="1" applyAlignment="1">
      <alignment horizontal="center"/>
    </xf>
    <xf numFmtId="0" fontId="33" fillId="21" borderId="122" xfId="0" applyFont="1" applyFill="1" applyBorder="1" applyAlignment="1">
      <alignment horizontal="center"/>
    </xf>
    <xf numFmtId="0" fontId="33" fillId="21" borderId="123" xfId="0" applyFont="1" applyFill="1" applyBorder="1" applyAlignment="1">
      <alignment horizontal="center"/>
    </xf>
    <xf numFmtId="14" fontId="34" fillId="21" borderId="121" xfId="0" applyNumberFormat="1" applyFont="1" applyFill="1" applyBorder="1" applyAlignment="1">
      <alignment horizontal="center"/>
    </xf>
    <xf numFmtId="0" fontId="11" fillId="14" borderId="26" xfId="0" applyFont="1" applyFill="1" applyBorder="1" applyAlignment="1" applyProtection="1">
      <alignment horizontal="center"/>
      <protection locked="0"/>
    </xf>
    <xf numFmtId="0" fontId="11" fillId="15" borderId="26" xfId="0" applyFont="1" applyFill="1" applyBorder="1" applyAlignment="1" applyProtection="1">
      <alignment horizontal="center"/>
      <protection locked="0"/>
    </xf>
    <xf numFmtId="0" fontId="11" fillId="7" borderId="67" xfId="0" applyFont="1" applyFill="1" applyBorder="1" applyAlignment="1" applyProtection="1">
      <alignment horizontal="center"/>
      <protection locked="0"/>
    </xf>
    <xf numFmtId="0" fontId="11" fillId="14" borderId="57" xfId="0" applyFont="1" applyFill="1" applyBorder="1" applyAlignment="1" applyProtection="1">
      <alignment horizontal="center"/>
      <protection locked="0"/>
    </xf>
    <xf numFmtId="0" fontId="11" fillId="15" borderId="57" xfId="0" applyFont="1" applyFill="1" applyBorder="1" applyAlignment="1" applyProtection="1">
      <alignment horizontal="center"/>
      <protection locked="0"/>
    </xf>
    <xf numFmtId="0" fontId="11" fillId="7" borderId="59" xfId="0" applyFont="1" applyFill="1" applyBorder="1" applyAlignment="1" applyProtection="1">
      <alignment horizontal="center"/>
      <protection locked="0"/>
    </xf>
    <xf numFmtId="0" fontId="11" fillId="14" borderId="53" xfId="0" applyFont="1" applyFill="1" applyBorder="1" applyAlignment="1" applyProtection="1">
      <alignment horizontal="center"/>
      <protection locked="0"/>
    </xf>
    <xf numFmtId="0" fontId="11" fillId="15" borderId="53" xfId="0" applyFont="1" applyFill="1" applyBorder="1" applyAlignment="1" applyProtection="1">
      <alignment horizontal="center"/>
      <protection locked="0"/>
    </xf>
    <xf numFmtId="0" fontId="11" fillId="7" borderId="6" xfId="0" applyFont="1" applyFill="1" applyBorder="1" applyAlignment="1" applyProtection="1">
      <alignment horizontal="center"/>
      <protection locked="0"/>
    </xf>
    <xf numFmtId="0" fontId="11" fillId="14" borderId="85" xfId="0" applyFont="1" applyFill="1" applyBorder="1" applyAlignment="1" applyProtection="1">
      <alignment horizontal="center"/>
      <protection locked="0"/>
    </xf>
    <xf numFmtId="0" fontId="11" fillId="15" borderId="85" xfId="0" applyFont="1" applyFill="1" applyBorder="1" applyAlignment="1" applyProtection="1">
      <alignment horizontal="center"/>
      <protection locked="0"/>
    </xf>
    <xf numFmtId="0" fontId="11" fillId="7" borderId="103" xfId="0" applyFont="1" applyFill="1" applyBorder="1" applyAlignment="1" applyProtection="1">
      <alignment horizontal="center"/>
      <protection locked="0"/>
    </xf>
    <xf numFmtId="164" fontId="11" fillId="0" borderId="59" xfId="0" applyNumberFormat="1" applyFont="1" applyBorder="1" applyAlignment="1">
      <alignment horizontal="center"/>
    </xf>
    <xf numFmtId="164" fontId="11" fillId="0" borderId="103" xfId="0" applyNumberFormat="1" applyFont="1" applyBorder="1" applyAlignment="1">
      <alignment horizontal="center"/>
    </xf>
    <xf numFmtId="0" fontId="11" fillId="0" borderId="84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CCCC"/>
      <color rgb="FFFF0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579263</xdr:colOff>
      <xdr:row>2</xdr:row>
      <xdr:rowOff>10573</xdr:rowOff>
    </xdr:from>
    <xdr:to>
      <xdr:col>6</xdr:col>
      <xdr:colOff>1066800</xdr:colOff>
      <xdr:row>6</xdr:row>
      <xdr:rowOff>419347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8E30AEB-93A2-90F4-521F-2B2414726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113" y="251873"/>
          <a:ext cx="4976987" cy="1189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591175" cy="1333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591175" cy="1333500"/>
    <xdr:pic>
      <xdr:nvPicPr>
        <xdr:cNvPr id="2" name="image1.png">
          <a:extLst>
            <a:ext uri="{FF2B5EF4-FFF2-40B4-BE49-F238E27FC236}">
              <a16:creationId xmlns:a16="http://schemas.microsoft.com/office/drawing/2014/main" id="{1AA254B1-EA2C-424E-B273-63154B8269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0"/>
          <a:ext cx="5591175" cy="1333500"/>
        </a:xfrm>
        <a:prstGeom prst="rect">
          <a:avLst/>
        </a:prstGeom>
        <a:noFill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591175" cy="1333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591175" cy="1333500"/>
    <xdr:pic>
      <xdr:nvPicPr>
        <xdr:cNvPr id="2" name="image1.png">
          <a:extLst>
            <a:ext uri="{FF2B5EF4-FFF2-40B4-BE49-F238E27FC236}">
              <a16:creationId xmlns:a16="http://schemas.microsoft.com/office/drawing/2014/main" id="{B51BCC8C-BA13-40C6-9C77-281F9E1DE2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0"/>
          <a:ext cx="5591175" cy="133350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5"/>
  <sheetViews>
    <sheetView showGridLines="0" tabSelected="1" zoomScaleNormal="100" workbookViewId="0">
      <selection activeCell="C9" sqref="C9"/>
    </sheetView>
  </sheetViews>
  <sheetFormatPr baseColWidth="10" defaultColWidth="0" defaultRowHeight="15" customHeight="1" zeroHeight="1" x14ac:dyDescent="0.35"/>
  <cols>
    <col min="1" max="1" width="1" customWidth="1"/>
    <col min="2" max="2" width="8.6328125" customWidth="1"/>
    <col min="3" max="3" width="17.26953125" customWidth="1"/>
    <col min="4" max="4" width="17.08984375" customWidth="1"/>
    <col min="5" max="6" width="10.6328125" customWidth="1"/>
    <col min="7" max="7" width="17.26953125" customWidth="1"/>
    <col min="8" max="8" width="18.81640625" customWidth="1"/>
    <col min="9" max="12" width="10.6328125" customWidth="1"/>
    <col min="13" max="13" width="4.81640625" customWidth="1"/>
    <col min="14" max="14" width="1" customWidth="1"/>
    <col min="15" max="26" width="10.6328125" hidden="1" customWidth="1"/>
    <col min="27" max="16384" width="14.453125" hidden="1"/>
  </cols>
  <sheetData>
    <row r="1" spans="1:24" s="899" customFormat="1" ht="5" customHeight="1" thickBot="1" x14ac:dyDescent="0.4">
      <c r="A1" s="134"/>
      <c r="B1" s="135"/>
      <c r="C1" s="135"/>
      <c r="D1" s="135"/>
      <c r="E1" s="135"/>
      <c r="F1" s="135"/>
      <c r="G1" s="135"/>
      <c r="H1" s="136"/>
      <c r="I1" s="136"/>
      <c r="J1" s="136"/>
      <c r="K1" s="136"/>
      <c r="L1" s="136"/>
      <c r="M1" s="136"/>
      <c r="N1" s="140"/>
      <c r="O1" s="900"/>
      <c r="P1" s="900"/>
      <c r="Q1" s="900"/>
      <c r="R1" s="900"/>
      <c r="S1" s="900"/>
      <c r="T1" s="900"/>
      <c r="U1" s="900"/>
      <c r="V1" s="900"/>
      <c r="W1" s="900"/>
      <c r="X1" s="900"/>
    </row>
    <row r="2" spans="1:24" s="899" customFormat="1" ht="14.25" customHeight="1" thickBot="1" x14ac:dyDescent="0.4">
      <c r="A2" s="138"/>
      <c r="B2" s="134"/>
      <c r="C2" s="135"/>
      <c r="D2" s="135"/>
      <c r="E2" s="135"/>
      <c r="F2" s="135"/>
      <c r="G2" s="135"/>
      <c r="H2" s="136"/>
      <c r="I2" s="136"/>
      <c r="J2" s="136"/>
      <c r="K2" s="136"/>
      <c r="L2" s="136"/>
      <c r="M2" s="137"/>
      <c r="N2" s="140"/>
      <c r="O2" s="900"/>
      <c r="P2" s="900"/>
      <c r="Q2" s="900"/>
      <c r="R2" s="900"/>
      <c r="S2" s="900"/>
      <c r="T2" s="900"/>
      <c r="U2" s="900"/>
      <c r="V2" s="900"/>
      <c r="W2" s="900"/>
      <c r="X2" s="900"/>
    </row>
    <row r="3" spans="1:24" s="899" customFormat="1" ht="14.25" customHeight="1" x14ac:dyDescent="1">
      <c r="A3" s="138"/>
      <c r="B3" s="138"/>
      <c r="C3" s="139"/>
      <c r="D3" s="139"/>
      <c r="E3" s="139"/>
      <c r="F3" s="139"/>
      <c r="G3" s="139"/>
      <c r="H3" s="926" t="s">
        <v>394</v>
      </c>
      <c r="I3" s="927"/>
      <c r="J3" s="927"/>
      <c r="K3" s="927"/>
      <c r="L3" s="928"/>
      <c r="M3" s="142"/>
      <c r="N3" s="901"/>
      <c r="O3" s="902"/>
      <c r="P3" s="902"/>
      <c r="Q3" s="900"/>
      <c r="R3" s="900"/>
      <c r="S3" s="903"/>
      <c r="T3" s="904"/>
      <c r="U3" s="905"/>
      <c r="V3" s="905"/>
      <c r="W3" s="905"/>
      <c r="X3" s="904"/>
    </row>
    <row r="4" spans="1:24" s="899" customFormat="1" ht="14.25" customHeight="1" thickBot="1" x14ac:dyDescent="1.05">
      <c r="A4" s="138"/>
      <c r="B4" s="138"/>
      <c r="C4" s="139"/>
      <c r="D4" s="139"/>
      <c r="E4" s="139"/>
      <c r="F4" s="139"/>
      <c r="G4" s="139"/>
      <c r="H4" s="929"/>
      <c r="I4" s="930"/>
      <c r="J4" s="930"/>
      <c r="K4" s="930"/>
      <c r="L4" s="931"/>
      <c r="M4" s="142"/>
      <c r="N4" s="901"/>
      <c r="O4" s="902"/>
      <c r="P4" s="902"/>
      <c r="Q4" s="900"/>
      <c r="R4" s="900"/>
      <c r="S4" s="903"/>
      <c r="T4" s="904"/>
      <c r="U4" s="905"/>
      <c r="V4" s="905"/>
      <c r="W4" s="905"/>
      <c r="X4" s="904"/>
    </row>
    <row r="5" spans="1:24" s="899" customFormat="1" ht="14.25" customHeight="1" thickBot="1" x14ac:dyDescent="1.05">
      <c r="A5" s="138"/>
      <c r="B5" s="138"/>
      <c r="C5" s="139"/>
      <c r="D5" s="139"/>
      <c r="E5" s="139"/>
      <c r="F5" s="139"/>
      <c r="G5" s="139"/>
      <c r="H5" s="143"/>
      <c r="I5" s="143"/>
      <c r="J5" s="143"/>
      <c r="K5" s="143"/>
      <c r="L5" s="143"/>
      <c r="M5" s="142"/>
      <c r="N5" s="901"/>
      <c r="O5" s="902"/>
      <c r="P5" s="902"/>
      <c r="Q5" s="140"/>
      <c r="R5" s="140"/>
      <c r="S5" s="906"/>
      <c r="T5" s="907"/>
      <c r="U5" s="169"/>
      <c r="V5" s="169"/>
      <c r="W5" s="169"/>
      <c r="X5" s="907"/>
    </row>
    <row r="6" spans="1:24" s="899" customFormat="1" ht="19.5" customHeight="1" thickBot="1" x14ac:dyDescent="0.6">
      <c r="A6" s="138"/>
      <c r="B6" s="138"/>
      <c r="C6" s="139"/>
      <c r="D6" s="139"/>
      <c r="E6" s="139"/>
      <c r="F6" s="139"/>
      <c r="G6" s="139"/>
      <c r="H6" s="144" t="s">
        <v>0</v>
      </c>
      <c r="I6" s="932">
        <f ca="1">TODAY()</f>
        <v>46282</v>
      </c>
      <c r="J6" s="933"/>
      <c r="K6" s="145"/>
      <c r="L6" s="146"/>
      <c r="M6" s="147"/>
      <c r="N6" s="139"/>
      <c r="O6" s="908"/>
      <c r="P6" s="908"/>
      <c r="Q6" s="908"/>
      <c r="R6" s="908"/>
      <c r="S6" s="903"/>
      <c r="T6" s="904"/>
      <c r="U6" s="905"/>
      <c r="V6" s="905"/>
      <c r="W6" s="905"/>
      <c r="X6" s="909"/>
    </row>
    <row r="7" spans="1:24" s="899" customFormat="1" ht="54" customHeight="1" thickBot="1" x14ac:dyDescent="1.05">
      <c r="A7" s="148"/>
      <c r="B7" s="148"/>
      <c r="C7" s="149"/>
      <c r="D7" s="149"/>
      <c r="E7" s="149"/>
      <c r="F7" s="149"/>
      <c r="G7" s="149"/>
      <c r="H7" s="150"/>
      <c r="I7" s="150"/>
      <c r="J7" s="150"/>
      <c r="K7" s="150"/>
      <c r="L7" s="150"/>
      <c r="M7" s="142"/>
      <c r="N7" s="901"/>
      <c r="O7" s="902"/>
      <c r="P7" s="902"/>
      <c r="Q7" s="900"/>
      <c r="R7" s="900"/>
      <c r="S7" s="900"/>
      <c r="T7" s="900"/>
      <c r="U7" s="900"/>
      <c r="V7" s="900"/>
      <c r="W7" s="900"/>
      <c r="X7" s="900"/>
    </row>
    <row r="8" spans="1:24" s="899" customFormat="1" ht="18" customHeight="1" thickBot="1" x14ac:dyDescent="0.4">
      <c r="A8" s="148"/>
      <c r="B8" s="148"/>
      <c r="C8" s="934" t="s">
        <v>1</v>
      </c>
      <c r="D8" s="935"/>
      <c r="E8" s="935"/>
      <c r="F8" s="936"/>
      <c r="G8" s="937" t="s">
        <v>2</v>
      </c>
      <c r="H8" s="935"/>
      <c r="I8" s="935"/>
      <c r="J8" s="938"/>
      <c r="K8" s="151"/>
      <c r="L8" s="151"/>
      <c r="M8" s="141"/>
      <c r="N8" s="140"/>
      <c r="O8" s="900"/>
      <c r="P8" s="900"/>
      <c r="Q8" s="900"/>
      <c r="R8" s="900"/>
      <c r="S8" s="900"/>
      <c r="T8" s="900"/>
      <c r="U8" s="900"/>
      <c r="V8" s="900"/>
      <c r="W8" s="900"/>
      <c r="X8" s="900"/>
    </row>
    <row r="9" spans="1:24" s="899" customFormat="1" ht="18" customHeight="1" thickTop="1" x14ac:dyDescent="0.35">
      <c r="A9" s="148"/>
      <c r="B9" s="148"/>
      <c r="C9" s="152" t="s">
        <v>3</v>
      </c>
      <c r="D9" s="939"/>
      <c r="E9" s="940"/>
      <c r="F9" s="941"/>
      <c r="G9" s="153" t="s">
        <v>3</v>
      </c>
      <c r="H9" s="942"/>
      <c r="I9" s="940"/>
      <c r="J9" s="943"/>
      <c r="K9" s="151"/>
      <c r="L9" s="151"/>
      <c r="M9" s="141"/>
      <c r="N9" s="140"/>
      <c r="O9" s="900"/>
      <c r="P9" s="900"/>
      <c r="Q9" s="900"/>
      <c r="R9" s="900"/>
      <c r="S9" s="910"/>
      <c r="T9" s="900"/>
      <c r="U9" s="900"/>
      <c r="V9" s="900"/>
      <c r="W9" s="900"/>
      <c r="X9" s="900"/>
    </row>
    <row r="10" spans="1:24" s="899" customFormat="1" ht="18" customHeight="1" x14ac:dyDescent="0.35">
      <c r="A10" s="148"/>
      <c r="B10" s="148"/>
      <c r="C10" s="154" t="s">
        <v>4</v>
      </c>
      <c r="D10" s="947"/>
      <c r="E10" s="948"/>
      <c r="F10" s="949"/>
      <c r="G10" s="155" t="s">
        <v>4</v>
      </c>
      <c r="H10" s="950"/>
      <c r="I10" s="948"/>
      <c r="J10" s="951"/>
      <c r="K10" s="151"/>
      <c r="L10" s="151"/>
      <c r="M10" s="141"/>
      <c r="N10" s="140"/>
      <c r="O10" s="900"/>
      <c r="P10" s="900"/>
      <c r="Q10" s="900"/>
      <c r="R10" s="900"/>
      <c r="S10" s="900"/>
      <c r="T10" s="900"/>
      <c r="U10" s="900"/>
      <c r="V10" s="900"/>
      <c r="W10" s="900"/>
      <c r="X10" s="900"/>
    </row>
    <row r="11" spans="1:24" s="899" customFormat="1" ht="18" customHeight="1" x14ac:dyDescent="0.35">
      <c r="A11" s="148"/>
      <c r="B11" s="148"/>
      <c r="C11" s="154" t="s">
        <v>5</v>
      </c>
      <c r="D11" s="947"/>
      <c r="E11" s="948"/>
      <c r="F11" s="949"/>
      <c r="G11" s="155" t="s">
        <v>5</v>
      </c>
      <c r="H11" s="950"/>
      <c r="I11" s="948"/>
      <c r="J11" s="951"/>
      <c r="K11" s="156"/>
      <c r="L11" s="156"/>
      <c r="M11" s="157"/>
      <c r="N11" s="163"/>
    </row>
    <row r="12" spans="1:24" s="899" customFormat="1" ht="18" customHeight="1" x14ac:dyDescent="0.35">
      <c r="A12" s="148"/>
      <c r="B12" s="148"/>
      <c r="C12" s="154" t="s">
        <v>6</v>
      </c>
      <c r="D12" s="947"/>
      <c r="E12" s="948"/>
      <c r="F12" s="949"/>
      <c r="G12" s="155" t="s">
        <v>6</v>
      </c>
      <c r="H12" s="950"/>
      <c r="I12" s="948"/>
      <c r="J12" s="951"/>
      <c r="K12" s="156"/>
      <c r="L12" s="156"/>
      <c r="M12" s="157"/>
      <c r="N12" s="163"/>
    </row>
    <row r="13" spans="1:24" s="899" customFormat="1" ht="18" customHeight="1" x14ac:dyDescent="0.35">
      <c r="A13" s="148"/>
      <c r="B13" s="148"/>
      <c r="C13" s="154" t="s">
        <v>7</v>
      </c>
      <c r="D13" s="947"/>
      <c r="E13" s="948"/>
      <c r="F13" s="949"/>
      <c r="G13" s="155"/>
      <c r="H13" s="950"/>
      <c r="I13" s="948"/>
      <c r="J13" s="951"/>
      <c r="K13" s="156"/>
      <c r="L13" s="156"/>
      <c r="M13" s="157"/>
      <c r="N13" s="163"/>
    </row>
    <row r="14" spans="1:24" s="899" customFormat="1" ht="18" customHeight="1" x14ac:dyDescent="0.35">
      <c r="A14" s="148"/>
      <c r="B14" s="148"/>
      <c r="C14" s="154" t="s">
        <v>8</v>
      </c>
      <c r="D14" s="947"/>
      <c r="E14" s="948"/>
      <c r="F14" s="949"/>
      <c r="G14" s="158" t="s">
        <v>8</v>
      </c>
      <c r="H14" s="952"/>
      <c r="I14" s="953"/>
      <c r="J14" s="954"/>
      <c r="K14" s="156"/>
      <c r="L14" s="156"/>
      <c r="M14" s="157"/>
      <c r="N14" s="163"/>
    </row>
    <row r="15" spans="1:24" s="899" customFormat="1" ht="18" customHeight="1" thickBot="1" x14ac:dyDescent="0.4">
      <c r="A15" s="148"/>
      <c r="B15" s="148"/>
      <c r="C15" s="159" t="s">
        <v>9</v>
      </c>
      <c r="D15" s="955"/>
      <c r="E15" s="956"/>
      <c r="F15" s="957"/>
      <c r="G15" s="160" t="s">
        <v>9</v>
      </c>
      <c r="H15" s="958"/>
      <c r="I15" s="956"/>
      <c r="J15" s="959"/>
      <c r="K15" s="156"/>
      <c r="L15" s="156"/>
      <c r="M15" s="157"/>
      <c r="N15" s="163"/>
    </row>
    <row r="16" spans="1:24" s="899" customFormat="1" ht="14.25" customHeight="1" x14ac:dyDescent="0.35">
      <c r="A16" s="161"/>
      <c r="B16" s="161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7"/>
      <c r="N16" s="163"/>
    </row>
    <row r="17" spans="1:14" s="899" customFormat="1" ht="14.25" customHeight="1" x14ac:dyDescent="0.35">
      <c r="A17" s="161"/>
      <c r="B17" s="161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7"/>
      <c r="N17" s="163"/>
    </row>
    <row r="18" spans="1:14" s="899" customFormat="1" ht="14.25" customHeight="1" thickBot="1" x14ac:dyDescent="0.4">
      <c r="A18" s="161"/>
      <c r="B18" s="161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7"/>
      <c r="N18" s="163"/>
    </row>
    <row r="19" spans="1:14" s="899" customFormat="1" ht="30" customHeight="1" thickBot="1" x14ac:dyDescent="0.4">
      <c r="A19" s="162"/>
      <c r="B19" s="162"/>
      <c r="C19" s="139"/>
      <c r="D19" s="944" t="s">
        <v>10</v>
      </c>
      <c r="E19" s="945"/>
      <c r="F19" s="945"/>
      <c r="G19" s="945"/>
      <c r="H19" s="946"/>
      <c r="I19" s="163"/>
      <c r="J19" s="960" t="s">
        <v>133</v>
      </c>
      <c r="K19" s="961"/>
      <c r="L19" s="163"/>
      <c r="M19" s="157"/>
      <c r="N19" s="163"/>
    </row>
    <row r="20" spans="1:14" s="899" customFormat="1" ht="19.5" customHeight="1" thickTop="1" x14ac:dyDescent="0.35">
      <c r="A20" s="162"/>
      <c r="B20" s="162"/>
      <c r="C20" s="163"/>
      <c r="D20" s="918"/>
      <c r="E20" s="920" t="s">
        <v>11</v>
      </c>
      <c r="F20" s="922" t="s">
        <v>112</v>
      </c>
      <c r="G20" s="920" t="s">
        <v>12</v>
      </c>
      <c r="H20" s="924" t="s">
        <v>13</v>
      </c>
      <c r="I20" s="163"/>
      <c r="J20" s="914" t="s">
        <v>382</v>
      </c>
      <c r="K20" s="271">
        <f>'PE Holds'!H73+'PU Holds'!H49</f>
        <v>0</v>
      </c>
      <c r="L20" s="163"/>
      <c r="M20" s="157"/>
      <c r="N20" s="163"/>
    </row>
    <row r="21" spans="1:14" s="899" customFormat="1" ht="19.5" customHeight="1" x14ac:dyDescent="0.35">
      <c r="A21" s="162"/>
      <c r="B21" s="162"/>
      <c r="C21" s="163"/>
      <c r="D21" s="919"/>
      <c r="E21" s="921"/>
      <c r="F21" s="923"/>
      <c r="G21" s="921"/>
      <c r="H21" s="925"/>
      <c r="I21" s="163"/>
      <c r="J21" s="914" t="s">
        <v>383</v>
      </c>
      <c r="K21" s="271">
        <f>'PE Holds'!I73+'PU Holds'!I49</f>
        <v>0</v>
      </c>
      <c r="L21" s="163"/>
      <c r="M21" s="157"/>
      <c r="N21" s="163"/>
    </row>
    <row r="22" spans="1:14" s="899" customFormat="1" ht="19.5" customHeight="1" x14ac:dyDescent="0.35">
      <c r="A22" s="162"/>
      <c r="B22" s="162"/>
      <c r="C22" s="139"/>
      <c r="D22" s="166" t="s">
        <v>132</v>
      </c>
      <c r="E22" s="164">
        <f>'PE Holds'!Z3</f>
        <v>0</v>
      </c>
      <c r="F22" s="164">
        <f>'PE Holds'!Z2</f>
        <v>0</v>
      </c>
      <c r="G22" s="164">
        <f>'PE Holds'!Z4</f>
        <v>0</v>
      </c>
      <c r="H22" s="165">
        <f>'PE Holds'!Z5</f>
        <v>0</v>
      </c>
      <c r="I22" s="163"/>
      <c r="J22" s="914" t="s">
        <v>384</v>
      </c>
      <c r="K22" s="271">
        <f>'PE Holds'!J73+'PU Holds'!J49</f>
        <v>0</v>
      </c>
      <c r="L22" s="163"/>
      <c r="M22" s="157"/>
      <c r="N22" s="163"/>
    </row>
    <row r="23" spans="1:14" s="899" customFormat="1" ht="19.5" customHeight="1" x14ac:dyDescent="0.35">
      <c r="A23" s="162"/>
      <c r="B23" s="162"/>
      <c r="C23" s="139"/>
      <c r="D23" s="166" t="s">
        <v>131</v>
      </c>
      <c r="E23" s="164">
        <f>'PU Holds'!Z3</f>
        <v>0</v>
      </c>
      <c r="F23" s="164">
        <f>'PU Holds'!Z2</f>
        <v>0</v>
      </c>
      <c r="G23" s="164">
        <f>'PU Holds'!Z4</f>
        <v>0</v>
      </c>
      <c r="H23" s="165">
        <f>'PU Holds'!Z5</f>
        <v>0</v>
      </c>
      <c r="I23" s="163"/>
      <c r="J23" s="914" t="s">
        <v>385</v>
      </c>
      <c r="K23" s="271">
        <f>'PE Holds'!K73+'PU Holds'!K49</f>
        <v>0</v>
      </c>
      <c r="L23" s="163"/>
      <c r="M23" s="157"/>
      <c r="N23" s="163"/>
    </row>
    <row r="24" spans="1:14" s="899" customFormat="1" ht="19.5" customHeight="1" x14ac:dyDescent="0.35">
      <c r="A24" s="162"/>
      <c r="B24" s="162"/>
      <c r="C24" s="163"/>
      <c r="D24" s="166" t="s">
        <v>14</v>
      </c>
      <c r="E24" s="164"/>
      <c r="F24" s="164">
        <f>Macros!T2</f>
        <v>0</v>
      </c>
      <c r="G24" s="164">
        <f>Macros!T3</f>
        <v>0</v>
      </c>
      <c r="H24" s="165">
        <f>Macros!T4</f>
        <v>0</v>
      </c>
      <c r="I24" s="163"/>
      <c r="J24" s="914" t="s">
        <v>386</v>
      </c>
      <c r="K24" s="271">
        <f>'PE Holds'!L73+'PU Holds'!L49</f>
        <v>0</v>
      </c>
      <c r="L24" s="163"/>
      <c r="M24" s="157"/>
      <c r="N24" s="163"/>
    </row>
    <row r="25" spans="1:14" s="899" customFormat="1" ht="19.5" customHeight="1" thickBot="1" x14ac:dyDescent="0.4">
      <c r="A25" s="162"/>
      <c r="B25" s="162"/>
      <c r="C25" s="163"/>
      <c r="D25" s="897" t="s">
        <v>395</v>
      </c>
      <c r="E25" s="895"/>
      <c r="F25" s="895">
        <f>'Plywood-Volumes'!S2</f>
        <v>0</v>
      </c>
      <c r="G25" s="895">
        <f>'Plywood-Volumes'!S3</f>
        <v>0</v>
      </c>
      <c r="H25" s="896">
        <f>'Plywood-Volumes'!S4</f>
        <v>0</v>
      </c>
      <c r="I25" s="163"/>
      <c r="J25" s="914" t="s">
        <v>387</v>
      </c>
      <c r="K25" s="271">
        <f>'PE Holds'!M73+'PU Holds'!M49</f>
        <v>0</v>
      </c>
      <c r="L25" s="163"/>
      <c r="M25" s="157"/>
      <c r="N25" s="163"/>
    </row>
    <row r="26" spans="1:14" s="899" customFormat="1" ht="19.5" customHeight="1" thickTop="1" thickBot="1" x14ac:dyDescent="0.4">
      <c r="A26" s="162"/>
      <c r="B26" s="162"/>
      <c r="C26" s="163"/>
      <c r="D26" s="892" t="s">
        <v>15</v>
      </c>
      <c r="E26" s="911">
        <f>E22+E23</f>
        <v>0</v>
      </c>
      <c r="F26" s="911">
        <f>F22+F23+F24+F25</f>
        <v>0</v>
      </c>
      <c r="G26" s="893">
        <f>G22+G23+G24+G25</f>
        <v>0</v>
      </c>
      <c r="H26" s="894">
        <f>H22+H23+H24+H25</f>
        <v>0</v>
      </c>
      <c r="I26" s="163"/>
      <c r="J26" s="914" t="s">
        <v>388</v>
      </c>
      <c r="K26" s="271">
        <f>'PE Holds'!N73+'PU Holds'!N49</f>
        <v>0</v>
      </c>
      <c r="L26" s="163"/>
      <c r="M26" s="157"/>
      <c r="N26" s="163"/>
    </row>
    <row r="27" spans="1:14" s="899" customFormat="1" ht="19.5" customHeight="1" x14ac:dyDescent="0.35">
      <c r="A27" s="162"/>
      <c r="B27" s="162"/>
      <c r="C27" s="163"/>
      <c r="D27" s="167"/>
      <c r="E27" s="269"/>
      <c r="F27" s="167"/>
      <c r="G27" s="167"/>
      <c r="H27" s="270"/>
      <c r="I27" s="163"/>
      <c r="J27" s="914" t="s">
        <v>389</v>
      </c>
      <c r="K27" s="271">
        <f>'PE Holds'!O73+'PU Holds'!O49</f>
        <v>0</v>
      </c>
      <c r="L27" s="163"/>
      <c r="M27" s="157"/>
      <c r="N27" s="163"/>
    </row>
    <row r="28" spans="1:14" s="899" customFormat="1" ht="19.5" customHeight="1" x14ac:dyDescent="0.35">
      <c r="A28" s="162"/>
      <c r="B28" s="162"/>
      <c r="C28" s="163"/>
      <c r="D28" s="167"/>
      <c r="E28" s="269"/>
      <c r="F28" s="167"/>
      <c r="G28" s="167"/>
      <c r="H28" s="270"/>
      <c r="I28" s="163"/>
      <c r="J28" s="914" t="s">
        <v>390</v>
      </c>
      <c r="K28" s="271">
        <f>'PE Holds'!P73+'PU Holds'!P49</f>
        <v>0</v>
      </c>
      <c r="L28" s="163"/>
      <c r="M28" s="157"/>
      <c r="N28" s="163"/>
    </row>
    <row r="29" spans="1:14" s="899" customFormat="1" ht="19.5" customHeight="1" x14ac:dyDescent="0.35">
      <c r="A29" s="162"/>
      <c r="B29" s="162"/>
      <c r="C29" s="163"/>
      <c r="D29" s="167"/>
      <c r="E29" s="269"/>
      <c r="F29" s="167"/>
      <c r="G29" s="167"/>
      <c r="H29" s="270"/>
      <c r="I29" s="163"/>
      <c r="J29" s="914" t="s">
        <v>391</v>
      </c>
      <c r="K29" s="271">
        <f>'PE Holds'!Q73+'PU Holds'!Q49</f>
        <v>0</v>
      </c>
      <c r="L29" s="163"/>
      <c r="M29" s="157"/>
      <c r="N29" s="163"/>
    </row>
    <row r="30" spans="1:14" s="899" customFormat="1" ht="19.5" customHeight="1" thickBot="1" x14ac:dyDescent="0.4">
      <c r="A30" s="162"/>
      <c r="B30" s="162"/>
      <c r="C30" s="163"/>
      <c r="D30" s="139"/>
      <c r="E30" s="139"/>
      <c r="F30" s="139"/>
      <c r="G30" s="174"/>
      <c r="H30" s="139"/>
      <c r="I30" s="163"/>
      <c r="J30" s="915" t="s">
        <v>392</v>
      </c>
      <c r="K30" s="272">
        <f>'PE Holds'!R73+'PU Holds'!R49</f>
        <v>0</v>
      </c>
      <c r="L30" s="163"/>
      <c r="M30" s="157"/>
      <c r="N30" s="163"/>
    </row>
    <row r="31" spans="1:14" s="899" customFormat="1" ht="26" customHeight="1" thickBot="1" x14ac:dyDescent="0.4">
      <c r="A31" s="162"/>
      <c r="B31" s="162"/>
      <c r="C31" s="163"/>
      <c r="D31" s="167" t="s">
        <v>16</v>
      </c>
      <c r="E31" s="168">
        <v>0</v>
      </c>
      <c r="F31" s="169"/>
      <c r="G31" s="169"/>
      <c r="H31" s="89">
        <f>H26-(H26*E31)</f>
        <v>0</v>
      </c>
      <c r="I31" s="163"/>
      <c r="J31" s="916" t="s">
        <v>134</v>
      </c>
      <c r="K31" s="917"/>
      <c r="L31" s="273">
        <f>'PE Holds'!H75+'PU Holds'!H51+Macros!H138+'Plywood-Volumes'!H89</f>
        <v>0</v>
      </c>
      <c r="M31" s="157"/>
      <c r="N31" s="163"/>
    </row>
    <row r="32" spans="1:14" s="899" customFormat="1" ht="14.25" customHeight="1" x14ac:dyDescent="0.35">
      <c r="A32" s="162"/>
      <c r="B32" s="162"/>
      <c r="C32" s="163"/>
      <c r="D32" s="163"/>
      <c r="E32" s="163"/>
      <c r="F32" s="163"/>
      <c r="G32" s="163"/>
      <c r="H32" s="170" t="s">
        <v>17</v>
      </c>
      <c r="I32" s="163"/>
      <c r="J32" s="163"/>
      <c r="K32" s="163"/>
      <c r="L32" s="163"/>
      <c r="M32" s="157"/>
      <c r="N32" s="163"/>
    </row>
    <row r="33" spans="1:14" s="899" customFormat="1" ht="14.25" customHeight="1" x14ac:dyDescent="0.35">
      <c r="A33" s="162"/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57"/>
      <c r="N33" s="163"/>
    </row>
    <row r="34" spans="1:14" s="899" customFormat="1" ht="14.25" customHeight="1" thickBot="1" x14ac:dyDescent="0.4">
      <c r="A34" s="162"/>
      <c r="B34" s="171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3"/>
      <c r="N34" s="163"/>
    </row>
    <row r="35" spans="1:14" ht="5" customHeight="1" x14ac:dyDescent="0.35">
      <c r="A35" s="163"/>
      <c r="B35" s="899"/>
      <c r="C35" s="899"/>
      <c r="D35" s="899"/>
      <c r="E35" s="899"/>
      <c r="F35" s="899"/>
      <c r="G35" s="899"/>
      <c r="H35" s="899"/>
      <c r="I35" s="899"/>
      <c r="J35" s="899"/>
      <c r="K35" s="899"/>
      <c r="L35" s="899"/>
      <c r="M35" s="899"/>
      <c r="N35" s="899"/>
    </row>
    <row r="36" spans="1:14" ht="14.25" hidden="1" customHeight="1" x14ac:dyDescent="0.35"/>
    <row r="37" spans="1:14" ht="14.25" hidden="1" customHeight="1" x14ac:dyDescent="0.35"/>
    <row r="38" spans="1:14" ht="14.25" hidden="1" customHeight="1" x14ac:dyDescent="0.35"/>
    <row r="39" spans="1:14" ht="14.25" hidden="1" customHeight="1" x14ac:dyDescent="0.35"/>
    <row r="40" spans="1:14" ht="14.25" hidden="1" customHeight="1" x14ac:dyDescent="0.35"/>
    <row r="41" spans="1:14" ht="14.25" hidden="1" customHeight="1" x14ac:dyDescent="0.35"/>
    <row r="42" spans="1:14" ht="14.25" hidden="1" customHeight="1" x14ac:dyDescent="0.35"/>
    <row r="43" spans="1:14" ht="14.25" hidden="1" customHeight="1" x14ac:dyDescent="0.35"/>
    <row r="44" spans="1:14" ht="14.25" hidden="1" customHeight="1" x14ac:dyDescent="0.35"/>
    <row r="45" spans="1:14" ht="14.25" hidden="1" customHeight="1" x14ac:dyDescent="0.35"/>
    <row r="46" spans="1:14" ht="14.25" hidden="1" customHeight="1" x14ac:dyDescent="0.35"/>
    <row r="47" spans="1:14" ht="14.25" hidden="1" customHeight="1" x14ac:dyDescent="0.35"/>
    <row r="48" spans="1:14" ht="14.25" hidden="1" customHeight="1" x14ac:dyDescent="0.35"/>
    <row r="49" ht="14.25" hidden="1" customHeight="1" x14ac:dyDescent="0.35"/>
    <row r="50" ht="14.25" hidden="1" customHeight="1" x14ac:dyDescent="0.35"/>
    <row r="51" ht="14.25" hidden="1" customHeight="1" x14ac:dyDescent="0.35"/>
    <row r="52" ht="14.25" hidden="1" customHeight="1" x14ac:dyDescent="0.35"/>
    <row r="53" ht="14.25" hidden="1" customHeight="1" x14ac:dyDescent="0.35"/>
    <row r="54" ht="14.25" hidden="1" customHeight="1" x14ac:dyDescent="0.35"/>
    <row r="55" ht="14.25" hidden="1" customHeight="1" x14ac:dyDescent="0.35"/>
    <row r="56" ht="14.25" hidden="1" customHeight="1" x14ac:dyDescent="0.35"/>
    <row r="57" ht="14.25" hidden="1" customHeight="1" x14ac:dyDescent="0.35"/>
    <row r="58" ht="14.25" hidden="1" customHeight="1" x14ac:dyDescent="0.35"/>
    <row r="59" ht="14.25" hidden="1" customHeight="1" x14ac:dyDescent="0.35"/>
    <row r="60" ht="14.25" hidden="1" customHeight="1" x14ac:dyDescent="0.35"/>
    <row r="61" ht="14.25" hidden="1" customHeight="1" x14ac:dyDescent="0.35"/>
    <row r="62" ht="14.25" hidden="1" customHeight="1" x14ac:dyDescent="0.35"/>
    <row r="63" ht="14.25" hidden="1" customHeight="1" x14ac:dyDescent="0.35"/>
    <row r="64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ht="14.25" hidden="1" customHeight="1" x14ac:dyDescent="0.35"/>
    <row r="82" ht="14.25" hidden="1" customHeight="1" x14ac:dyDescent="0.35"/>
    <row r="83" ht="14.25" hidden="1" customHeight="1" x14ac:dyDescent="0.35"/>
    <row r="84" ht="14.25" hidden="1" customHeight="1" x14ac:dyDescent="0.35"/>
    <row r="85" ht="14.25" hidden="1" customHeight="1" x14ac:dyDescent="0.35"/>
    <row r="86" ht="14.25" hidden="1" customHeight="1" x14ac:dyDescent="0.35"/>
    <row r="87" ht="14.25" hidden="1" customHeight="1" x14ac:dyDescent="0.35"/>
    <row r="88" ht="14.25" hidden="1" customHeight="1" x14ac:dyDescent="0.35"/>
    <row r="89" ht="14.25" hidden="1" customHeight="1" x14ac:dyDescent="0.35"/>
    <row r="90" ht="14.25" hidden="1" customHeight="1" x14ac:dyDescent="0.35"/>
    <row r="91" ht="14.25" hidden="1" customHeight="1" x14ac:dyDescent="0.35"/>
    <row r="92" ht="14.25" hidden="1" customHeight="1" x14ac:dyDescent="0.35"/>
    <row r="93" ht="14.25" hidden="1" customHeight="1" x14ac:dyDescent="0.35"/>
    <row r="94" ht="14.25" hidden="1" customHeight="1" x14ac:dyDescent="0.35"/>
    <row r="95" ht="14.25" hidden="1" customHeight="1" x14ac:dyDescent="0.35"/>
    <row r="96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4.25" hidden="1" customHeight="1" x14ac:dyDescent="0.35"/>
    <row r="1001" ht="14.25" hidden="1" customHeight="1" x14ac:dyDescent="0.35"/>
    <row r="1002" ht="14.25" hidden="1" customHeight="1" x14ac:dyDescent="0.35"/>
    <row r="1003" ht="14.25" hidden="1" customHeight="1" x14ac:dyDescent="0.35"/>
    <row r="1004" ht="14.25" hidden="1" customHeight="1" x14ac:dyDescent="0.35"/>
    <row r="1005" ht="14.25" hidden="1" customHeight="1" x14ac:dyDescent="0.35"/>
    <row r="1048574" spans="1:14" ht="3" hidden="1" customHeight="1" x14ac:dyDescent="0.35"/>
    <row r="1048575" spans="1:14" ht="5" hidden="1" customHeight="1" x14ac:dyDescent="0.35">
      <c r="A1048575" s="899"/>
      <c r="B1048575" s="899"/>
      <c r="C1048575" s="899"/>
      <c r="D1048575" s="899"/>
      <c r="E1048575" s="899"/>
      <c r="F1048575" s="899"/>
      <c r="G1048575" s="899"/>
      <c r="H1048575" s="899"/>
      <c r="I1048575" s="899"/>
      <c r="J1048575" s="899"/>
      <c r="K1048575" s="899"/>
      <c r="L1048575" s="899"/>
      <c r="M1048575" s="899"/>
      <c r="N1048575" s="899"/>
    </row>
  </sheetData>
  <sheetProtection algorithmName="SHA-512" hashValue="M5BfN06ilS7CYC4gBa+ZU+S+6U/vMMxHqFAKluVYuP6Uf6Jtbb5vFyVO4oOIQiXk78lElTTqBLhGFCZHRlGi4g==" saltValue="qfz9TfSxjDdV9NV8R9aFNA==" spinCount="100000" sheet="1" objects="1" scenarios="1"/>
  <mergeCells count="26">
    <mergeCell ref="D19:H19"/>
    <mergeCell ref="D10:F10"/>
    <mergeCell ref="D11:F11"/>
    <mergeCell ref="H11:J11"/>
    <mergeCell ref="D12:F12"/>
    <mergeCell ref="H12:J12"/>
    <mergeCell ref="D13:F13"/>
    <mergeCell ref="D14:F14"/>
    <mergeCell ref="H10:J10"/>
    <mergeCell ref="H13:J13"/>
    <mergeCell ref="H14:J14"/>
    <mergeCell ref="D15:F15"/>
    <mergeCell ref="H15:J15"/>
    <mergeCell ref="J19:K19"/>
    <mergeCell ref="H3:L4"/>
    <mergeCell ref="I6:J6"/>
    <mergeCell ref="C8:F8"/>
    <mergeCell ref="G8:J8"/>
    <mergeCell ref="D9:F9"/>
    <mergeCell ref="H9:J9"/>
    <mergeCell ref="J31:K31"/>
    <mergeCell ref="D20:D21"/>
    <mergeCell ref="E20:E21"/>
    <mergeCell ref="F20:F21"/>
    <mergeCell ref="G20:G21"/>
    <mergeCell ref="H20:H21"/>
  </mergeCells>
  <phoneticPr fontId="47" type="noConversion"/>
  <pageMargins left="0.7" right="0.7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15"/>
  <sheetViews>
    <sheetView showGridLines="0" zoomScale="48" zoomScaleNormal="48" workbookViewId="0">
      <pane ySplit="8" topLeftCell="A9" activePane="bottomLeft" state="frozen"/>
      <selection pane="bottomLeft" activeCell="F15" sqref="F15"/>
    </sheetView>
  </sheetViews>
  <sheetFormatPr baseColWidth="10" defaultColWidth="0" defaultRowHeight="15" customHeight="1" zeroHeight="1" x14ac:dyDescent="0.35"/>
  <cols>
    <col min="1" max="1" width="2.81640625" customWidth="1"/>
    <col min="2" max="2" width="12.36328125" bestFit="1" customWidth="1"/>
    <col min="3" max="3" width="27.90625" customWidth="1"/>
    <col min="4" max="4" width="5.81640625" customWidth="1"/>
    <col min="5" max="6" width="10.6328125" customWidth="1"/>
    <col min="7" max="7" width="13.36328125" customWidth="1"/>
    <col min="8" max="24" width="5.6328125" customWidth="1"/>
    <col min="25" max="25" width="14.6328125" customWidth="1"/>
    <col min="26" max="26" width="18.453125" customWidth="1"/>
    <col min="27" max="27" width="10.6328125" hidden="1" customWidth="1"/>
    <col min="28" max="28" width="1.6328125" customWidth="1"/>
    <col min="29" max="16384" width="14.453125" hidden="1"/>
  </cols>
  <sheetData>
    <row r="1" spans="2:26" ht="12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970"/>
      <c r="S1" s="971"/>
      <c r="T1" s="971"/>
      <c r="U1" s="971"/>
      <c r="V1" s="971"/>
      <c r="W1" s="971"/>
      <c r="X1" s="971"/>
      <c r="Y1" s="971"/>
      <c r="Z1" s="971"/>
    </row>
    <row r="2" spans="2:26" ht="21.75" customHeight="1" x14ac:dyDescent="0.55000000000000004">
      <c r="B2" s="1"/>
      <c r="C2" s="1"/>
      <c r="D2" s="1"/>
      <c r="E2" s="1"/>
      <c r="F2" s="1"/>
      <c r="G2" s="1"/>
      <c r="H2" s="1"/>
      <c r="I2" s="1"/>
      <c r="J2" s="6"/>
      <c r="K2" s="2"/>
      <c r="L2" s="2"/>
      <c r="M2" s="2"/>
      <c r="N2" s="997"/>
      <c r="O2" s="976"/>
      <c r="P2" s="976"/>
      <c r="Q2" s="976"/>
      <c r="R2" s="976"/>
      <c r="S2" s="976"/>
      <c r="T2" s="977"/>
      <c r="U2" s="3"/>
      <c r="V2" s="964" t="s">
        <v>18</v>
      </c>
      <c r="W2" s="965"/>
      <c r="X2" s="965"/>
      <c r="Y2" s="966"/>
      <c r="Z2" s="401">
        <f t="shared" ref="Z2:Z3" si="0">H67+I67+J67+K67+L67+M67+N67+O67+P67+Q67+R67+S67+T67+U67+V67+W67+X67</f>
        <v>0</v>
      </c>
    </row>
    <row r="3" spans="2:26" ht="21.75" customHeight="1" x14ac:dyDescent="0.55000000000000004">
      <c r="B3" s="1"/>
      <c r="C3" s="1"/>
      <c r="D3" s="1"/>
      <c r="E3" s="1"/>
      <c r="F3" s="1"/>
      <c r="G3" s="1"/>
      <c r="H3" s="1"/>
      <c r="I3" s="1"/>
      <c r="J3" s="972" t="s">
        <v>0</v>
      </c>
      <c r="K3" s="998"/>
      <c r="L3" s="998"/>
      <c r="M3" s="999"/>
      <c r="N3" s="1000">
        <f ca="1">TODAY()</f>
        <v>46282</v>
      </c>
      <c r="O3" s="998"/>
      <c r="P3" s="998"/>
      <c r="Q3" s="998"/>
      <c r="R3" s="998"/>
      <c r="S3" s="998"/>
      <c r="T3" s="999"/>
      <c r="U3" s="3"/>
      <c r="V3" s="964" t="s">
        <v>19</v>
      </c>
      <c r="W3" s="965"/>
      <c r="X3" s="965"/>
      <c r="Y3" s="966"/>
      <c r="Z3" s="401">
        <f t="shared" si="0"/>
        <v>0</v>
      </c>
    </row>
    <row r="4" spans="2:26" ht="21.75" customHeight="1" x14ac:dyDescent="0.55000000000000004"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5"/>
      <c r="O4" s="2"/>
      <c r="P4" s="2"/>
      <c r="Q4" s="2"/>
      <c r="R4" s="2"/>
      <c r="S4" s="2"/>
      <c r="T4" s="2"/>
      <c r="U4" s="3"/>
      <c r="V4" s="964" t="s">
        <v>20</v>
      </c>
      <c r="W4" s="965"/>
      <c r="X4" s="965"/>
      <c r="Y4" s="966"/>
      <c r="Z4" s="912">
        <f>(Y10/20*1.8)+(Y11/8*5.15)+(Y12/8*9.5)+(Y13/6*10.5)+(Y14/4*10.2)+(Y15/2*9.6)+(Y16/8*10.8)+(Y17/6*7.7)+(Y18/2*6)+(Y19/2*8.6)+(Y20/10*3.45)+(Y21/12*3.25)+(Y22/10*5.7)+(Y23/4*5.45)+(Y24/102*97.7)+(Y27/24*0.9)+(Y28/16*1.45)+(Y29/10*0.85)+(Y30/10*7.6)+(Y31/6*8)+(Y32/4*7.8)+(Y33/2*8.3)+(Y34/12*1.55)+(Y35/12*1.5)+(Y36/10*2.7)+(Y37/12*3.5)+(Y38/20*6.65)+(Y39/4*2.5)+(Y40/10*6.3)+(Y41/8*6.5)+(Y42/6*5.45)+(Y43/6*6.4)+(Y44/4*9.1)+(Y45/4*6.35)+(Y46/2*7)+(Y47/2*6.95)+(Y48/184*107.35)+(Y51/16*2.7)+(Y52/10*4.2)+(Y55/16*1.5)+(Y56/8*4.3)+(Y57/8*3.9)+(Y58/6*7.4)+(Y59/4*12.3)+(Y60/10*4.1)+(Y61/4*2.8)+(Y62/4*7.7)+(Y63/60*44)</f>
        <v>0</v>
      </c>
    </row>
    <row r="5" spans="2:26" ht="21.75" customHeight="1" x14ac:dyDescent="0.55000000000000004">
      <c r="B5" s="1"/>
      <c r="C5" s="1"/>
      <c r="D5" s="1"/>
      <c r="E5" s="1"/>
      <c r="F5" s="1"/>
      <c r="G5" s="1"/>
      <c r="H5" s="1"/>
      <c r="I5" s="1"/>
      <c r="J5" s="967"/>
      <c r="K5" s="968"/>
      <c r="L5" s="968"/>
      <c r="M5" s="968"/>
      <c r="N5" s="56"/>
      <c r="O5" s="55"/>
      <c r="P5" s="55"/>
      <c r="Q5" s="55"/>
      <c r="R5" s="55"/>
      <c r="S5" s="55"/>
      <c r="T5" s="55"/>
      <c r="U5" s="3"/>
      <c r="V5" s="964" t="s">
        <v>89</v>
      </c>
      <c r="W5" s="965"/>
      <c r="X5" s="965"/>
      <c r="Y5" s="966"/>
      <c r="Z5" s="402">
        <f>H80</f>
        <v>0</v>
      </c>
    </row>
    <row r="6" spans="2:26" ht="14.25" customHeight="1" thickBot="1" x14ac:dyDescent="0.4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962" t="s">
        <v>17</v>
      </c>
      <c r="S6" s="969"/>
      <c r="T6" s="969"/>
      <c r="U6" s="969"/>
      <c r="V6" s="969"/>
      <c r="W6" s="969"/>
      <c r="X6" s="969"/>
      <c r="Y6" s="969"/>
      <c r="Z6" s="969"/>
    </row>
    <row r="7" spans="2:26" ht="14.25" customHeight="1" x14ac:dyDescent="0.35">
      <c r="B7" s="7"/>
      <c r="C7" s="7"/>
      <c r="D7" s="5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970"/>
      <c r="S7" s="971"/>
      <c r="T7" s="982"/>
      <c r="U7" s="983" t="s">
        <v>21</v>
      </c>
      <c r="V7" s="984"/>
      <c r="W7" s="984"/>
      <c r="X7" s="985"/>
      <c r="Y7" s="986"/>
      <c r="Z7" s="971"/>
    </row>
    <row r="8" spans="2:26" ht="69.75" customHeight="1" thickBot="1" x14ac:dyDescent="0.4">
      <c r="B8" s="92" t="s">
        <v>22</v>
      </c>
      <c r="C8" s="1001" t="s">
        <v>23</v>
      </c>
      <c r="D8" s="1002"/>
      <c r="E8" s="9" t="s">
        <v>24</v>
      </c>
      <c r="F8" s="10" t="s">
        <v>25</v>
      </c>
      <c r="G8" s="9" t="s">
        <v>13</v>
      </c>
      <c r="H8" s="11" t="s">
        <v>26</v>
      </c>
      <c r="I8" s="60" t="s">
        <v>27</v>
      </c>
      <c r="J8" s="12" t="s">
        <v>28</v>
      </c>
      <c r="K8" s="13" t="s">
        <v>29</v>
      </c>
      <c r="L8" s="14" t="s">
        <v>30</v>
      </c>
      <c r="M8" s="15" t="s">
        <v>31</v>
      </c>
      <c r="N8" s="16" t="s">
        <v>32</v>
      </c>
      <c r="O8" s="17" t="s">
        <v>33</v>
      </c>
      <c r="P8" s="18" t="s">
        <v>35</v>
      </c>
      <c r="Q8" s="19" t="s">
        <v>34</v>
      </c>
      <c r="R8" s="20" t="s">
        <v>36</v>
      </c>
      <c r="S8" s="21" t="s">
        <v>37</v>
      </c>
      <c r="T8" s="91" t="s">
        <v>38</v>
      </c>
      <c r="U8" s="22" t="s">
        <v>39</v>
      </c>
      <c r="V8" s="23" t="s">
        <v>40</v>
      </c>
      <c r="W8" s="24" t="s">
        <v>41</v>
      </c>
      <c r="X8" s="25" t="s">
        <v>42</v>
      </c>
      <c r="Y8" s="10" t="s">
        <v>43</v>
      </c>
      <c r="Z8" s="26" t="s">
        <v>44</v>
      </c>
    </row>
    <row r="9" spans="2:26" ht="42.75" customHeight="1" thickBot="1" x14ac:dyDescent="0.4">
      <c r="B9" s="1014" t="s">
        <v>398</v>
      </c>
      <c r="C9" s="1015"/>
      <c r="D9" s="1016"/>
      <c r="E9" s="1015"/>
      <c r="F9" s="1015"/>
      <c r="G9" s="1016"/>
      <c r="H9" s="1006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</row>
    <row r="10" spans="2:26" ht="18" customHeight="1" thickTop="1" thickBot="1" x14ac:dyDescent="0.4">
      <c r="B10" s="276">
        <v>1001</v>
      </c>
      <c r="C10" s="277" t="s">
        <v>45</v>
      </c>
      <c r="D10" s="278"/>
      <c r="E10" s="279" t="s">
        <v>46</v>
      </c>
      <c r="F10" s="279">
        <v>20</v>
      </c>
      <c r="G10" s="280">
        <v>110</v>
      </c>
      <c r="H10" s="281"/>
      <c r="I10" s="282"/>
      <c r="J10" s="283"/>
      <c r="K10" s="284"/>
      <c r="L10" s="285"/>
      <c r="M10" s="286"/>
      <c r="N10" s="287"/>
      <c r="O10" s="288"/>
      <c r="P10" s="289"/>
      <c r="Q10" s="290"/>
      <c r="R10" s="291"/>
      <c r="S10" s="292"/>
      <c r="T10" s="293"/>
      <c r="U10" s="294"/>
      <c r="V10" s="295"/>
      <c r="W10" s="296"/>
      <c r="X10" s="297"/>
      <c r="Y10" s="298">
        <f>(H10+I10+J10+K10+M10+L10+N10+O10+P10+Q10+R10+S10+T10+U10+V10+W10+X10)*20</f>
        <v>0</v>
      </c>
      <c r="Z10" s="299">
        <f>(H10+I10+J10+K10+L10+M10+N10+O10+P10+Q10+R10+S10+T10)*G10+(U10+V10+W10+X10)*(G10*1.05)</f>
        <v>0</v>
      </c>
    </row>
    <row r="11" spans="2:26" ht="18" customHeight="1" thickTop="1" thickBot="1" x14ac:dyDescent="0.4">
      <c r="B11" s="300">
        <v>1002</v>
      </c>
      <c r="C11" s="301" t="s">
        <v>140</v>
      </c>
      <c r="D11" s="302"/>
      <c r="E11" s="303" t="s">
        <v>47</v>
      </c>
      <c r="F11" s="303">
        <v>8</v>
      </c>
      <c r="G11" s="304">
        <v>130</v>
      </c>
      <c r="H11" s="305"/>
      <c r="I11" s="306"/>
      <c r="J11" s="307"/>
      <c r="K11" s="308"/>
      <c r="L11" s="309"/>
      <c r="M11" s="310"/>
      <c r="N11" s="311"/>
      <c r="O11" s="312"/>
      <c r="P11" s="313"/>
      <c r="Q11" s="314"/>
      <c r="R11" s="315"/>
      <c r="S11" s="316"/>
      <c r="T11" s="317"/>
      <c r="U11" s="318"/>
      <c r="V11" s="319"/>
      <c r="W11" s="320"/>
      <c r="X11" s="321"/>
      <c r="Y11" s="891">
        <f>(H11+I11+J11+K11+M11+L11+N11+O11+P11+Q11+R11+S11+T11+U11+V11+W11+X11)*8</f>
        <v>0</v>
      </c>
      <c r="Z11" s="299">
        <f t="shared" ref="Z11:Z24" si="1">(H11+I11+J11+K11+L11+M11+N11+O11+P11+Q11+R11+S11+T11)*G11+(U11+V11+W11+X11)*(G11*1.05)</f>
        <v>0</v>
      </c>
    </row>
    <row r="12" spans="2:26" ht="18" customHeight="1" thickTop="1" thickBot="1" x14ac:dyDescent="0.4">
      <c r="B12" s="322">
        <v>1003</v>
      </c>
      <c r="C12" s="323" t="s">
        <v>141</v>
      </c>
      <c r="D12" s="324"/>
      <c r="E12" s="325" t="s">
        <v>48</v>
      </c>
      <c r="F12" s="325">
        <v>8</v>
      </c>
      <c r="G12" s="326">
        <v>230</v>
      </c>
      <c r="H12" s="327"/>
      <c r="I12" s="328"/>
      <c r="J12" s="329"/>
      <c r="K12" s="330"/>
      <c r="L12" s="331"/>
      <c r="M12" s="332"/>
      <c r="N12" s="333"/>
      <c r="O12" s="334"/>
      <c r="P12" s="335"/>
      <c r="Q12" s="336"/>
      <c r="R12" s="337"/>
      <c r="S12" s="338"/>
      <c r="T12" s="339"/>
      <c r="U12" s="340"/>
      <c r="V12" s="341"/>
      <c r="W12" s="342"/>
      <c r="X12" s="343"/>
      <c r="Y12" s="344">
        <f>(H12+I12+J12+K12+M12+L12+N12+O12+P12+Q12+R12+S12+T12+U12+V12+W12+X12)*8</f>
        <v>0</v>
      </c>
      <c r="Z12" s="299">
        <f t="shared" si="1"/>
        <v>0</v>
      </c>
    </row>
    <row r="13" spans="2:26" ht="18" customHeight="1" x14ac:dyDescent="0.35">
      <c r="B13" s="300">
        <v>1004</v>
      </c>
      <c r="C13" s="345" t="s">
        <v>142</v>
      </c>
      <c r="D13" s="302"/>
      <c r="E13" s="303" t="s">
        <v>49</v>
      </c>
      <c r="F13" s="303">
        <v>6</v>
      </c>
      <c r="G13" s="346">
        <v>250</v>
      </c>
      <c r="H13" s="305"/>
      <c r="I13" s="306"/>
      <c r="J13" s="307"/>
      <c r="K13" s="308"/>
      <c r="L13" s="309"/>
      <c r="M13" s="310"/>
      <c r="N13" s="311"/>
      <c r="O13" s="312"/>
      <c r="P13" s="313"/>
      <c r="Q13" s="314"/>
      <c r="R13" s="315"/>
      <c r="S13" s="316"/>
      <c r="T13" s="317"/>
      <c r="U13" s="318"/>
      <c r="V13" s="319"/>
      <c r="W13" s="320"/>
      <c r="X13" s="321"/>
      <c r="Y13" s="347">
        <f>(H13+I13+J13+K13+M13+L13+N13+O13+P13+Q13+R13+S13+T13+U13+V13+W13+X13)*6</f>
        <v>0</v>
      </c>
      <c r="Z13" s="299">
        <f t="shared" si="1"/>
        <v>0</v>
      </c>
    </row>
    <row r="14" spans="2:26" ht="18" customHeight="1" x14ac:dyDescent="0.35">
      <c r="B14" s="300">
        <v>1005</v>
      </c>
      <c r="C14" s="345" t="s">
        <v>143</v>
      </c>
      <c r="D14" s="302"/>
      <c r="E14" s="303" t="s">
        <v>50</v>
      </c>
      <c r="F14" s="303">
        <v>4</v>
      </c>
      <c r="G14" s="346">
        <v>250</v>
      </c>
      <c r="H14" s="305"/>
      <c r="I14" s="306"/>
      <c r="J14" s="307"/>
      <c r="K14" s="308"/>
      <c r="L14" s="309"/>
      <c r="M14" s="310"/>
      <c r="N14" s="311"/>
      <c r="O14" s="312"/>
      <c r="P14" s="313"/>
      <c r="Q14" s="314"/>
      <c r="R14" s="315"/>
      <c r="S14" s="316"/>
      <c r="T14" s="317"/>
      <c r="U14" s="318"/>
      <c r="V14" s="319"/>
      <c r="W14" s="320"/>
      <c r="X14" s="321"/>
      <c r="Y14" s="347">
        <f>(H14+I14+J14+K14+M14+L14+N14+O14+P14+Q14+R14+S14+T14+U14+V14+W14+X14)*4</f>
        <v>0</v>
      </c>
      <c r="Z14" s="299">
        <f t="shared" si="1"/>
        <v>0</v>
      </c>
    </row>
    <row r="15" spans="2:26" ht="18" customHeight="1" x14ac:dyDescent="0.35">
      <c r="B15" s="322">
        <v>1006</v>
      </c>
      <c r="C15" s="323" t="s">
        <v>144</v>
      </c>
      <c r="D15" s="324"/>
      <c r="E15" s="325" t="s">
        <v>51</v>
      </c>
      <c r="F15" s="325">
        <v>2</v>
      </c>
      <c r="G15" s="326">
        <v>220</v>
      </c>
      <c r="H15" s="327"/>
      <c r="I15" s="328"/>
      <c r="J15" s="329"/>
      <c r="K15" s="330"/>
      <c r="L15" s="331"/>
      <c r="M15" s="332"/>
      <c r="N15" s="333"/>
      <c r="O15" s="334"/>
      <c r="P15" s="335"/>
      <c r="Q15" s="336"/>
      <c r="R15" s="337"/>
      <c r="S15" s="338"/>
      <c r="T15" s="339"/>
      <c r="U15" s="340"/>
      <c r="V15" s="341"/>
      <c r="W15" s="342"/>
      <c r="X15" s="343"/>
      <c r="Y15" s="347">
        <f>(H15+I15+J15+K15+M15+L15+N15+O15+P15+Q15+R15+S15+T15+U15+V15+W15+X15)*2</f>
        <v>0</v>
      </c>
      <c r="Z15" s="299">
        <f t="shared" si="1"/>
        <v>0</v>
      </c>
    </row>
    <row r="16" spans="2:26" ht="18" customHeight="1" x14ac:dyDescent="0.35">
      <c r="B16" s="300">
        <v>1007</v>
      </c>
      <c r="C16" s="345" t="s">
        <v>145</v>
      </c>
      <c r="D16" s="302"/>
      <c r="E16" s="303" t="s">
        <v>48</v>
      </c>
      <c r="F16" s="303">
        <v>8</v>
      </c>
      <c r="G16" s="346">
        <v>260</v>
      </c>
      <c r="H16" s="348"/>
      <c r="I16" s="306"/>
      <c r="J16" s="307"/>
      <c r="K16" s="308"/>
      <c r="L16" s="309"/>
      <c r="M16" s="310"/>
      <c r="N16" s="311"/>
      <c r="O16" s="312"/>
      <c r="P16" s="313"/>
      <c r="Q16" s="314"/>
      <c r="R16" s="315"/>
      <c r="S16" s="316"/>
      <c r="T16" s="317"/>
      <c r="U16" s="318"/>
      <c r="V16" s="319"/>
      <c r="W16" s="320"/>
      <c r="X16" s="309"/>
      <c r="Y16" s="347">
        <f>(H16+I16+J16+K16+M16+L16+N16+O16+P16+Q16+R16+S16+T16+U16+V16+W16+X16)*8</f>
        <v>0</v>
      </c>
      <c r="Z16" s="299">
        <f t="shared" si="1"/>
        <v>0</v>
      </c>
    </row>
    <row r="17" spans="2:26" ht="18" customHeight="1" x14ac:dyDescent="0.35">
      <c r="B17" s="349">
        <v>1008</v>
      </c>
      <c r="C17" s="301" t="s">
        <v>146</v>
      </c>
      <c r="D17" s="350"/>
      <c r="E17" s="351" t="s">
        <v>49</v>
      </c>
      <c r="F17" s="351">
        <v>6</v>
      </c>
      <c r="G17" s="352">
        <v>210</v>
      </c>
      <c r="H17" s="353"/>
      <c r="I17" s="354"/>
      <c r="J17" s="355"/>
      <c r="K17" s="356"/>
      <c r="L17" s="357"/>
      <c r="M17" s="358"/>
      <c r="N17" s="359"/>
      <c r="O17" s="360"/>
      <c r="P17" s="361"/>
      <c r="Q17" s="362"/>
      <c r="R17" s="363"/>
      <c r="S17" s="364"/>
      <c r="T17" s="365"/>
      <c r="U17" s="366"/>
      <c r="V17" s="367"/>
      <c r="W17" s="368"/>
      <c r="X17" s="357"/>
      <c r="Y17" s="347">
        <f>(H17+I17+J17+K17+M17+L17+N17+O17+P17+Q17+R17+S17+T17+U17+V17+W17+X17)*6</f>
        <v>0</v>
      </c>
      <c r="Z17" s="299">
        <f t="shared" si="1"/>
        <v>0</v>
      </c>
    </row>
    <row r="18" spans="2:26" ht="18" customHeight="1" thickTop="1" thickBot="1" x14ac:dyDescent="0.4">
      <c r="B18" s="322">
        <v>1009</v>
      </c>
      <c r="C18" s="323" t="s">
        <v>147</v>
      </c>
      <c r="D18" s="324"/>
      <c r="E18" s="325" t="s">
        <v>50</v>
      </c>
      <c r="F18" s="325">
        <v>2</v>
      </c>
      <c r="G18" s="326">
        <v>150</v>
      </c>
      <c r="H18" s="369"/>
      <c r="I18" s="328"/>
      <c r="J18" s="329"/>
      <c r="K18" s="330"/>
      <c r="L18" s="331"/>
      <c r="M18" s="332"/>
      <c r="N18" s="333"/>
      <c r="O18" s="334"/>
      <c r="P18" s="335"/>
      <c r="Q18" s="336"/>
      <c r="R18" s="337"/>
      <c r="S18" s="338"/>
      <c r="T18" s="339"/>
      <c r="U18" s="340"/>
      <c r="V18" s="341"/>
      <c r="W18" s="342"/>
      <c r="X18" s="343"/>
      <c r="Y18" s="347">
        <f t="shared" ref="Y18:Y19" si="2">(H18+I18+J18+K18+M18+L18+N18+O18+P18+Q18+R18+S18+T18+U18+V18+W18+X18)*2</f>
        <v>0</v>
      </c>
      <c r="Z18" s="299">
        <f t="shared" si="1"/>
        <v>0</v>
      </c>
    </row>
    <row r="19" spans="2:26" ht="18" customHeight="1" thickTop="1" thickBot="1" x14ac:dyDescent="0.4">
      <c r="B19" s="370">
        <v>1010</v>
      </c>
      <c r="C19" s="345" t="s">
        <v>148</v>
      </c>
      <c r="D19" s="302"/>
      <c r="E19" s="303" t="s">
        <v>51</v>
      </c>
      <c r="F19" s="303">
        <v>2</v>
      </c>
      <c r="G19" s="346">
        <v>200</v>
      </c>
      <c r="H19" s="305"/>
      <c r="I19" s="306"/>
      <c r="J19" s="307"/>
      <c r="K19" s="308"/>
      <c r="L19" s="309"/>
      <c r="M19" s="310"/>
      <c r="N19" s="311"/>
      <c r="O19" s="312"/>
      <c r="P19" s="313"/>
      <c r="Q19" s="314"/>
      <c r="R19" s="315"/>
      <c r="S19" s="316"/>
      <c r="T19" s="371"/>
      <c r="U19" s="372"/>
      <c r="V19" s="319"/>
      <c r="W19" s="320"/>
      <c r="X19" s="373"/>
      <c r="Y19" s="374">
        <f t="shared" si="2"/>
        <v>0</v>
      </c>
      <c r="Z19" s="299">
        <f t="shared" si="1"/>
        <v>0</v>
      </c>
    </row>
    <row r="20" spans="2:26" ht="18" customHeight="1" thickTop="1" thickBot="1" x14ac:dyDescent="0.4">
      <c r="B20" s="349">
        <v>1011</v>
      </c>
      <c r="C20" s="301" t="s">
        <v>149</v>
      </c>
      <c r="D20" s="350"/>
      <c r="E20" s="351" t="s">
        <v>52</v>
      </c>
      <c r="F20" s="351">
        <v>10</v>
      </c>
      <c r="G20" s="352">
        <v>110</v>
      </c>
      <c r="H20" s="375"/>
      <c r="I20" s="354"/>
      <c r="J20" s="355"/>
      <c r="K20" s="356"/>
      <c r="L20" s="357"/>
      <c r="M20" s="358"/>
      <c r="N20" s="359"/>
      <c r="O20" s="360"/>
      <c r="P20" s="361"/>
      <c r="Q20" s="362"/>
      <c r="R20" s="363"/>
      <c r="S20" s="364"/>
      <c r="T20" s="365"/>
      <c r="U20" s="366"/>
      <c r="V20" s="367"/>
      <c r="W20" s="368"/>
      <c r="X20" s="376"/>
      <c r="Y20" s="374">
        <f>(H20+I20+J20+K20+M20+L20+N20+O20+P20+Q20+R20+S20+T20+U20+V20+W20+X20)*10</f>
        <v>0</v>
      </c>
      <c r="Z20" s="299">
        <f t="shared" si="1"/>
        <v>0</v>
      </c>
    </row>
    <row r="21" spans="2:26" ht="18" customHeight="1" thickTop="1" thickBot="1" x14ac:dyDescent="0.4">
      <c r="B21" s="322">
        <v>1012</v>
      </c>
      <c r="C21" s="323" t="s">
        <v>150</v>
      </c>
      <c r="D21" s="324"/>
      <c r="E21" s="325" t="s">
        <v>52</v>
      </c>
      <c r="F21" s="325">
        <v>12</v>
      </c>
      <c r="G21" s="326">
        <v>110</v>
      </c>
      <c r="H21" s="327"/>
      <c r="I21" s="328"/>
      <c r="J21" s="329"/>
      <c r="K21" s="330"/>
      <c r="L21" s="331"/>
      <c r="M21" s="332"/>
      <c r="N21" s="333"/>
      <c r="O21" s="334"/>
      <c r="P21" s="335"/>
      <c r="Q21" s="336"/>
      <c r="R21" s="337"/>
      <c r="S21" s="338"/>
      <c r="T21" s="339"/>
      <c r="U21" s="340"/>
      <c r="V21" s="341"/>
      <c r="W21" s="342"/>
      <c r="X21" s="343"/>
      <c r="Y21" s="374">
        <f>(H21+I21+J21+K21+M21+L21+N21+O21+P21+Q21+R21+S21+T21+U21+V21+W21+X21)*12</f>
        <v>0</v>
      </c>
      <c r="Z21" s="299">
        <f t="shared" si="1"/>
        <v>0</v>
      </c>
    </row>
    <row r="22" spans="2:26" ht="18" customHeight="1" thickTop="1" thickBot="1" x14ac:dyDescent="0.4">
      <c r="B22" s="300">
        <v>1013</v>
      </c>
      <c r="C22" s="345" t="s">
        <v>151</v>
      </c>
      <c r="D22" s="302"/>
      <c r="E22" s="303" t="s">
        <v>88</v>
      </c>
      <c r="F22" s="303">
        <v>10</v>
      </c>
      <c r="G22" s="346">
        <v>140</v>
      </c>
      <c r="H22" s="305"/>
      <c r="I22" s="306"/>
      <c r="J22" s="307"/>
      <c r="K22" s="308"/>
      <c r="L22" s="309"/>
      <c r="M22" s="310"/>
      <c r="N22" s="311"/>
      <c r="O22" s="312"/>
      <c r="P22" s="313"/>
      <c r="Q22" s="314"/>
      <c r="R22" s="315"/>
      <c r="S22" s="316"/>
      <c r="T22" s="371"/>
      <c r="U22" s="318"/>
      <c r="V22" s="319"/>
      <c r="W22" s="320"/>
      <c r="X22" s="321"/>
      <c r="Y22" s="374">
        <f>(H22+I22+J22+K22+M22+L22+N22+O22+P22+Q22+R22+S22+T22+U22+V22+W22+X22)*10</f>
        <v>0</v>
      </c>
      <c r="Z22" s="299">
        <f t="shared" si="1"/>
        <v>0</v>
      </c>
    </row>
    <row r="23" spans="2:26" ht="18" customHeight="1" thickTop="1" thickBot="1" x14ac:dyDescent="0.4">
      <c r="B23" s="349">
        <v>1014</v>
      </c>
      <c r="C23" s="301" t="s">
        <v>152</v>
      </c>
      <c r="D23" s="350"/>
      <c r="E23" s="351" t="s">
        <v>57</v>
      </c>
      <c r="F23" s="351">
        <v>4</v>
      </c>
      <c r="G23" s="352">
        <v>130</v>
      </c>
      <c r="H23" s="375"/>
      <c r="I23" s="354"/>
      <c r="J23" s="355"/>
      <c r="K23" s="356"/>
      <c r="L23" s="357"/>
      <c r="M23" s="358"/>
      <c r="N23" s="359"/>
      <c r="O23" s="360"/>
      <c r="P23" s="361"/>
      <c r="Q23" s="362"/>
      <c r="R23" s="363"/>
      <c r="S23" s="364"/>
      <c r="T23" s="365"/>
      <c r="U23" s="366"/>
      <c r="V23" s="367"/>
      <c r="W23" s="368"/>
      <c r="X23" s="376"/>
      <c r="Y23" s="374">
        <f>(H23+I23+J23+K23+M23+L23+N23+O23+P23+Q23+R23+S23+T23+U23+V23+W23+X23)*4</f>
        <v>0</v>
      </c>
      <c r="Z23" s="299">
        <f t="shared" si="1"/>
        <v>0</v>
      </c>
    </row>
    <row r="24" spans="2:26" ht="18" customHeight="1" thickTop="1" thickBot="1" x14ac:dyDescent="0.4">
      <c r="B24" s="377">
        <v>1015</v>
      </c>
      <c r="C24" s="378" t="s">
        <v>153</v>
      </c>
      <c r="D24" s="379"/>
      <c r="E24" s="380" t="s">
        <v>54</v>
      </c>
      <c r="F24" s="380">
        <f>SUM(F10:F23)</f>
        <v>102</v>
      </c>
      <c r="G24" s="381">
        <v>2500</v>
      </c>
      <c r="H24" s="382"/>
      <c r="I24" s="383"/>
      <c r="J24" s="384"/>
      <c r="K24" s="385"/>
      <c r="L24" s="386"/>
      <c r="M24" s="387"/>
      <c r="N24" s="388"/>
      <c r="O24" s="389"/>
      <c r="P24" s="390"/>
      <c r="Q24" s="391"/>
      <c r="R24" s="392"/>
      <c r="S24" s="393"/>
      <c r="T24" s="394"/>
      <c r="U24" s="395"/>
      <c r="V24" s="396"/>
      <c r="W24" s="397"/>
      <c r="X24" s="398"/>
      <c r="Y24" s="399">
        <f>(H24+I24+J24+K24+M24+L24+N24+O24+P24+Q24+R24+S24+T24+U24+V24+W24+X24)*102</f>
        <v>0</v>
      </c>
      <c r="Z24" s="400">
        <f t="shared" si="1"/>
        <v>0</v>
      </c>
    </row>
    <row r="25" spans="2:26" ht="8" customHeight="1" thickTop="1" thickBot="1" x14ac:dyDescent="0.5">
      <c r="B25" s="111"/>
      <c r="C25" s="111"/>
      <c r="D25" s="112"/>
      <c r="E25" s="111"/>
      <c r="F25" s="111"/>
      <c r="G25" s="113"/>
      <c r="H25" s="114"/>
      <c r="I25" s="115"/>
      <c r="J25" s="116"/>
      <c r="K25" s="117"/>
      <c r="L25" s="118"/>
      <c r="M25" s="119"/>
      <c r="N25" s="120"/>
      <c r="O25" s="121"/>
      <c r="P25" s="122"/>
      <c r="Q25" s="123"/>
      <c r="R25" s="124"/>
      <c r="S25" s="125"/>
      <c r="T25" s="126"/>
      <c r="U25" s="127"/>
      <c r="V25" s="128"/>
      <c r="W25" s="129"/>
      <c r="X25" s="118"/>
      <c r="Y25" s="130"/>
      <c r="Z25" s="131"/>
    </row>
    <row r="26" spans="2:26" ht="42.75" customHeight="1" thickTop="1" thickBot="1" x14ac:dyDescent="0.5">
      <c r="B26" s="1009" t="s">
        <v>397</v>
      </c>
      <c r="C26" s="1007"/>
      <c r="D26" s="1010"/>
      <c r="E26" s="1007"/>
      <c r="F26" s="1007"/>
      <c r="G26" s="1010"/>
      <c r="H26" s="1011"/>
      <c r="I26" s="976"/>
      <c r="J26" s="976"/>
      <c r="K26" s="976"/>
      <c r="L26" s="976"/>
      <c r="M26" s="976"/>
      <c r="N26" s="976"/>
      <c r="O26" s="976"/>
      <c r="P26" s="976"/>
      <c r="Q26" s="976"/>
      <c r="R26" s="976"/>
      <c r="S26" s="976"/>
      <c r="T26" s="976"/>
      <c r="U26" s="976"/>
      <c r="V26" s="976"/>
      <c r="W26" s="976"/>
      <c r="X26" s="977"/>
      <c r="Y26" s="27"/>
      <c r="Z26" s="28"/>
    </row>
    <row r="27" spans="2:26" ht="18" customHeight="1" thickTop="1" thickBot="1" x14ac:dyDescent="0.4">
      <c r="B27" s="276">
        <v>1101</v>
      </c>
      <c r="C27" s="345" t="s">
        <v>55</v>
      </c>
      <c r="D27" s="278"/>
      <c r="E27" s="303" t="s">
        <v>56</v>
      </c>
      <c r="F27" s="303">
        <v>24</v>
      </c>
      <c r="G27" s="403">
        <v>70</v>
      </c>
      <c r="H27" s="281"/>
      <c r="I27" s="282"/>
      <c r="J27" s="283"/>
      <c r="K27" s="284"/>
      <c r="L27" s="285"/>
      <c r="M27" s="286"/>
      <c r="N27" s="287"/>
      <c r="O27" s="288"/>
      <c r="P27" s="289"/>
      <c r="Q27" s="290"/>
      <c r="R27" s="291"/>
      <c r="S27" s="292"/>
      <c r="T27" s="404"/>
      <c r="U27" s="294"/>
      <c r="V27" s="295"/>
      <c r="W27" s="296"/>
      <c r="X27" s="297"/>
      <c r="Y27" s="298">
        <f>(H27+I27+J27+K27+M27+L27+N27+O27+P27+Q27+R27+S27+T27+U27+V27+W27+X27)*24</f>
        <v>0</v>
      </c>
      <c r="Z27" s="299">
        <f>(H27+I27+J27+K27+L27+M27+N27+O27+P27+Q27+R27+S27+T27)*G27+(U27+V27+W27+X27)*(G27*1.05)</f>
        <v>0</v>
      </c>
    </row>
    <row r="28" spans="2:26" ht="18" customHeight="1" thickTop="1" thickBot="1" x14ac:dyDescent="0.4">
      <c r="B28" s="349">
        <v>1102</v>
      </c>
      <c r="C28" s="301" t="s">
        <v>91</v>
      </c>
      <c r="D28" s="350"/>
      <c r="E28" s="351" t="s">
        <v>46</v>
      </c>
      <c r="F28" s="351">
        <v>16</v>
      </c>
      <c r="G28" s="381">
        <v>80</v>
      </c>
      <c r="H28" s="375"/>
      <c r="I28" s="354"/>
      <c r="J28" s="355"/>
      <c r="K28" s="356"/>
      <c r="L28" s="357"/>
      <c r="M28" s="358"/>
      <c r="N28" s="359"/>
      <c r="O28" s="360"/>
      <c r="P28" s="361"/>
      <c r="Q28" s="362"/>
      <c r="R28" s="363"/>
      <c r="S28" s="364"/>
      <c r="T28" s="405"/>
      <c r="U28" s="366"/>
      <c r="V28" s="367"/>
      <c r="W28" s="368"/>
      <c r="X28" s="376"/>
      <c r="Y28" s="347">
        <f>(H28+I28+J28+K28+M28+L28+N28+O28+P28+Q28+R28+S28+T28+U28+V28+W28+X28)*16</f>
        <v>0</v>
      </c>
      <c r="Z28" s="299">
        <f t="shared" ref="Z28:Z48" si="3">(H28+I28+J28+K28+L28+M28+N28+O28+P28+Q28+R28+S28+T28)*G28+(U28+V28+W28+X28)*(G28*1.05)</f>
        <v>0</v>
      </c>
    </row>
    <row r="29" spans="2:26" ht="18" customHeight="1" thickTop="1" thickBot="1" x14ac:dyDescent="0.4">
      <c r="B29" s="322">
        <v>1103</v>
      </c>
      <c r="C29" s="323" t="s">
        <v>90</v>
      </c>
      <c r="D29" s="324"/>
      <c r="E29" s="325" t="s">
        <v>46</v>
      </c>
      <c r="F29" s="325">
        <v>10</v>
      </c>
      <c r="G29" s="326">
        <v>60</v>
      </c>
      <c r="H29" s="327"/>
      <c r="I29" s="328"/>
      <c r="J29" s="329"/>
      <c r="K29" s="330"/>
      <c r="L29" s="331"/>
      <c r="M29" s="332"/>
      <c r="N29" s="333"/>
      <c r="O29" s="334"/>
      <c r="P29" s="335"/>
      <c r="Q29" s="336"/>
      <c r="R29" s="337"/>
      <c r="S29" s="338"/>
      <c r="T29" s="406"/>
      <c r="U29" s="340"/>
      <c r="V29" s="341"/>
      <c r="W29" s="342"/>
      <c r="X29" s="343"/>
      <c r="Y29" s="347">
        <f t="shared" ref="Y29:Y30" si="4">(H29+I29+J29+K29+M29+L29+N29+O29+P29+Q29+R29+S29+T29+U29+V29+W29+X29)*10</f>
        <v>0</v>
      </c>
      <c r="Z29" s="299">
        <f t="shared" si="3"/>
        <v>0</v>
      </c>
    </row>
    <row r="30" spans="2:26" ht="18" customHeight="1" thickTop="1" thickBot="1" x14ac:dyDescent="0.4">
      <c r="B30" s="300">
        <v>1104</v>
      </c>
      <c r="C30" s="345" t="s">
        <v>154</v>
      </c>
      <c r="D30" s="302"/>
      <c r="E30" s="303" t="s">
        <v>52</v>
      </c>
      <c r="F30" s="303">
        <v>10</v>
      </c>
      <c r="G30" s="304">
        <v>200</v>
      </c>
      <c r="H30" s="305"/>
      <c r="I30" s="306"/>
      <c r="J30" s="307"/>
      <c r="K30" s="308"/>
      <c r="L30" s="309"/>
      <c r="M30" s="310"/>
      <c r="N30" s="311"/>
      <c r="O30" s="312"/>
      <c r="P30" s="313"/>
      <c r="Q30" s="314"/>
      <c r="R30" s="315"/>
      <c r="S30" s="316"/>
      <c r="T30" s="407"/>
      <c r="U30" s="318"/>
      <c r="V30" s="319"/>
      <c r="W30" s="320"/>
      <c r="X30" s="321"/>
      <c r="Y30" s="347">
        <f t="shared" si="4"/>
        <v>0</v>
      </c>
      <c r="Z30" s="299">
        <f t="shared" si="3"/>
        <v>0</v>
      </c>
    </row>
    <row r="31" spans="2:26" ht="18" customHeight="1" thickTop="1" thickBot="1" x14ac:dyDescent="0.4">
      <c r="B31" s="300">
        <v>1105</v>
      </c>
      <c r="C31" s="301" t="s">
        <v>142</v>
      </c>
      <c r="D31" s="350"/>
      <c r="E31" s="351" t="s">
        <v>49</v>
      </c>
      <c r="F31" s="351">
        <v>6</v>
      </c>
      <c r="G31" s="381">
        <v>200</v>
      </c>
      <c r="H31" s="375"/>
      <c r="I31" s="354"/>
      <c r="J31" s="355"/>
      <c r="K31" s="356"/>
      <c r="L31" s="357"/>
      <c r="M31" s="358"/>
      <c r="N31" s="359"/>
      <c r="O31" s="360"/>
      <c r="P31" s="361"/>
      <c r="Q31" s="362"/>
      <c r="R31" s="363"/>
      <c r="S31" s="364"/>
      <c r="T31" s="405"/>
      <c r="U31" s="366"/>
      <c r="V31" s="367"/>
      <c r="W31" s="368"/>
      <c r="X31" s="376"/>
      <c r="Y31" s="347">
        <f>(H31+I31+J31+K31+M31+L31+N31+O31+P31+Q31+R31+S31+T31+U31+V31+W31+X31)*6</f>
        <v>0</v>
      </c>
      <c r="Z31" s="299">
        <f t="shared" si="3"/>
        <v>0</v>
      </c>
    </row>
    <row r="32" spans="2:26" ht="18" customHeight="1" thickTop="1" thickBot="1" x14ac:dyDescent="0.4">
      <c r="B32" s="322">
        <v>1106</v>
      </c>
      <c r="C32" s="323" t="s">
        <v>155</v>
      </c>
      <c r="D32" s="324"/>
      <c r="E32" s="325" t="s">
        <v>50</v>
      </c>
      <c r="F32" s="325">
        <v>4</v>
      </c>
      <c r="G32" s="326">
        <v>200</v>
      </c>
      <c r="H32" s="327"/>
      <c r="I32" s="328"/>
      <c r="J32" s="329"/>
      <c r="K32" s="330"/>
      <c r="L32" s="331"/>
      <c r="M32" s="332"/>
      <c r="N32" s="333"/>
      <c r="O32" s="334"/>
      <c r="P32" s="335"/>
      <c r="Q32" s="336"/>
      <c r="R32" s="337"/>
      <c r="S32" s="338"/>
      <c r="T32" s="406"/>
      <c r="U32" s="340"/>
      <c r="V32" s="341"/>
      <c r="W32" s="342"/>
      <c r="X32" s="343"/>
      <c r="Y32" s="347">
        <f>(H32+I32+J32+K32+M32+L32+N32+O32+P32+Q32+R32+S32+T32+U32+V32+W32+X32)*4</f>
        <v>0</v>
      </c>
      <c r="Z32" s="299">
        <f t="shared" si="3"/>
        <v>0</v>
      </c>
    </row>
    <row r="33" spans="2:26" ht="18" customHeight="1" thickTop="1" thickBot="1" x14ac:dyDescent="0.4">
      <c r="B33" s="300">
        <v>1107</v>
      </c>
      <c r="C33" s="345" t="s">
        <v>156</v>
      </c>
      <c r="D33" s="302"/>
      <c r="E33" s="303" t="s">
        <v>51</v>
      </c>
      <c r="F33" s="303">
        <v>2</v>
      </c>
      <c r="G33" s="304">
        <v>200</v>
      </c>
      <c r="H33" s="305"/>
      <c r="I33" s="306"/>
      <c r="J33" s="307"/>
      <c r="K33" s="308"/>
      <c r="L33" s="309"/>
      <c r="M33" s="310"/>
      <c r="N33" s="311"/>
      <c r="O33" s="312"/>
      <c r="P33" s="313"/>
      <c r="Q33" s="314"/>
      <c r="R33" s="315"/>
      <c r="S33" s="316"/>
      <c r="T33" s="407"/>
      <c r="U33" s="318"/>
      <c r="V33" s="319"/>
      <c r="W33" s="320"/>
      <c r="X33" s="321"/>
      <c r="Y33" s="347">
        <f>(H33+I33+J33+K33+M33+L33+N33+O33+P33+Q33+R33+S33+T33+U33+V33+W33+X33)*2</f>
        <v>0</v>
      </c>
      <c r="Z33" s="299">
        <f t="shared" si="3"/>
        <v>0</v>
      </c>
    </row>
    <row r="34" spans="2:26" ht="18" customHeight="1" thickTop="1" thickBot="1" x14ac:dyDescent="0.4">
      <c r="B34" s="349">
        <v>1108</v>
      </c>
      <c r="C34" s="301" t="s">
        <v>157</v>
      </c>
      <c r="D34" s="350"/>
      <c r="E34" s="351" t="s">
        <v>47</v>
      </c>
      <c r="F34" s="351">
        <v>12</v>
      </c>
      <c r="G34" s="381">
        <v>70</v>
      </c>
      <c r="H34" s="375"/>
      <c r="I34" s="354"/>
      <c r="J34" s="355"/>
      <c r="K34" s="356"/>
      <c r="L34" s="357"/>
      <c r="M34" s="358"/>
      <c r="N34" s="359"/>
      <c r="O34" s="360"/>
      <c r="P34" s="361"/>
      <c r="Q34" s="362"/>
      <c r="R34" s="363"/>
      <c r="S34" s="364"/>
      <c r="T34" s="405"/>
      <c r="U34" s="366"/>
      <c r="V34" s="367"/>
      <c r="W34" s="368"/>
      <c r="X34" s="376"/>
      <c r="Y34" s="347">
        <f t="shared" ref="Y34:Y37" si="5">(H34+I34+J34+K34+M34+L34+N34+O34+P34+Q34+R34+S34+T34+U34+V34+W34+X34)*12</f>
        <v>0</v>
      </c>
      <c r="Z34" s="299">
        <f t="shared" si="3"/>
        <v>0</v>
      </c>
    </row>
    <row r="35" spans="2:26" ht="18" customHeight="1" thickTop="1" thickBot="1" x14ac:dyDescent="0.4">
      <c r="B35" s="322">
        <v>1109</v>
      </c>
      <c r="C35" s="323" t="s">
        <v>158</v>
      </c>
      <c r="D35" s="324"/>
      <c r="E35" s="325" t="s">
        <v>47</v>
      </c>
      <c r="F35" s="325">
        <v>12</v>
      </c>
      <c r="G35" s="326">
        <v>70</v>
      </c>
      <c r="H35" s="327"/>
      <c r="I35" s="328"/>
      <c r="J35" s="329"/>
      <c r="K35" s="330"/>
      <c r="L35" s="331"/>
      <c r="M35" s="332"/>
      <c r="N35" s="333"/>
      <c r="O35" s="334"/>
      <c r="P35" s="335"/>
      <c r="Q35" s="336"/>
      <c r="R35" s="337"/>
      <c r="S35" s="338"/>
      <c r="T35" s="406"/>
      <c r="U35" s="340"/>
      <c r="V35" s="341"/>
      <c r="W35" s="342"/>
      <c r="X35" s="343"/>
      <c r="Y35" s="347">
        <f t="shared" si="5"/>
        <v>0</v>
      </c>
      <c r="Z35" s="299">
        <f t="shared" si="3"/>
        <v>0</v>
      </c>
    </row>
    <row r="36" spans="2:26" ht="18" customHeight="1" thickTop="1" thickBot="1" x14ac:dyDescent="0.4">
      <c r="B36" s="300">
        <v>1110</v>
      </c>
      <c r="C36" s="345" t="s">
        <v>159</v>
      </c>
      <c r="D36" s="302"/>
      <c r="E36" s="303" t="s">
        <v>47</v>
      </c>
      <c r="F36" s="303">
        <v>10</v>
      </c>
      <c r="G36" s="304">
        <v>90</v>
      </c>
      <c r="H36" s="305"/>
      <c r="I36" s="306"/>
      <c r="J36" s="307"/>
      <c r="K36" s="308"/>
      <c r="L36" s="309"/>
      <c r="M36" s="310"/>
      <c r="N36" s="311"/>
      <c r="O36" s="312"/>
      <c r="P36" s="313"/>
      <c r="Q36" s="314"/>
      <c r="R36" s="315"/>
      <c r="S36" s="316"/>
      <c r="T36" s="407"/>
      <c r="U36" s="318"/>
      <c r="V36" s="319"/>
      <c r="W36" s="320"/>
      <c r="X36" s="321"/>
      <c r="Y36" s="347">
        <f>(H36+I36+J36+K36+M36+L36+N36+O36+P36+Q36+R36+S36+T36+U36+V36+W36+X36)*10</f>
        <v>0</v>
      </c>
      <c r="Z36" s="299">
        <f t="shared" si="3"/>
        <v>0</v>
      </c>
    </row>
    <row r="37" spans="2:26" ht="18" customHeight="1" thickTop="1" thickBot="1" x14ac:dyDescent="0.4">
      <c r="B37" s="300">
        <v>1111</v>
      </c>
      <c r="C37" s="301" t="s">
        <v>160</v>
      </c>
      <c r="D37" s="350"/>
      <c r="E37" s="351" t="s">
        <v>52</v>
      </c>
      <c r="F37" s="351">
        <v>12</v>
      </c>
      <c r="G37" s="381">
        <v>120</v>
      </c>
      <c r="H37" s="375"/>
      <c r="I37" s="354"/>
      <c r="J37" s="355"/>
      <c r="K37" s="356"/>
      <c r="L37" s="357"/>
      <c r="M37" s="358"/>
      <c r="N37" s="359"/>
      <c r="O37" s="360"/>
      <c r="P37" s="361"/>
      <c r="Q37" s="362"/>
      <c r="R37" s="363"/>
      <c r="S37" s="364"/>
      <c r="T37" s="405"/>
      <c r="U37" s="366"/>
      <c r="V37" s="367"/>
      <c r="W37" s="368"/>
      <c r="X37" s="376"/>
      <c r="Y37" s="347">
        <f t="shared" si="5"/>
        <v>0</v>
      </c>
      <c r="Z37" s="299">
        <f t="shared" si="3"/>
        <v>0</v>
      </c>
    </row>
    <row r="38" spans="2:26" ht="18" customHeight="1" thickTop="1" thickBot="1" x14ac:dyDescent="0.4">
      <c r="B38" s="322">
        <v>1112</v>
      </c>
      <c r="C38" s="323" t="s">
        <v>161</v>
      </c>
      <c r="D38" s="324"/>
      <c r="E38" s="325" t="s">
        <v>48</v>
      </c>
      <c r="F38" s="325">
        <v>20</v>
      </c>
      <c r="G38" s="326">
        <v>160</v>
      </c>
      <c r="H38" s="327"/>
      <c r="I38" s="328"/>
      <c r="J38" s="329"/>
      <c r="K38" s="330"/>
      <c r="L38" s="331"/>
      <c r="M38" s="332"/>
      <c r="N38" s="333"/>
      <c r="O38" s="334"/>
      <c r="P38" s="335"/>
      <c r="Q38" s="336"/>
      <c r="R38" s="337"/>
      <c r="S38" s="338"/>
      <c r="T38" s="406"/>
      <c r="U38" s="340"/>
      <c r="V38" s="341"/>
      <c r="W38" s="342"/>
      <c r="X38" s="343"/>
      <c r="Y38" s="347">
        <f t="shared" ref="Y38" si="6">(H38+I38+J38+K38+M38+L38+N38+O38+P38+Q38+R38+S38+T38+U38+V38+W38+X38)*20</f>
        <v>0</v>
      </c>
      <c r="Z38" s="299">
        <f t="shared" si="3"/>
        <v>0</v>
      </c>
    </row>
    <row r="39" spans="2:26" ht="18" customHeight="1" thickTop="1" thickBot="1" x14ac:dyDescent="0.4">
      <c r="B39" s="300">
        <v>1113</v>
      </c>
      <c r="C39" s="345" t="s">
        <v>162</v>
      </c>
      <c r="D39" s="302"/>
      <c r="E39" s="303" t="s">
        <v>48</v>
      </c>
      <c r="F39" s="303">
        <v>4</v>
      </c>
      <c r="G39" s="304">
        <v>80</v>
      </c>
      <c r="H39" s="305"/>
      <c r="I39" s="306"/>
      <c r="J39" s="307"/>
      <c r="K39" s="308"/>
      <c r="L39" s="309"/>
      <c r="M39" s="310"/>
      <c r="N39" s="311"/>
      <c r="O39" s="312"/>
      <c r="P39" s="313"/>
      <c r="Q39" s="314"/>
      <c r="R39" s="315"/>
      <c r="S39" s="316"/>
      <c r="T39" s="407"/>
      <c r="U39" s="318"/>
      <c r="V39" s="319"/>
      <c r="W39" s="320"/>
      <c r="X39" s="321"/>
      <c r="Y39" s="347">
        <f>(H39+I39+J39+K39+M39+L39+N39+O39+P39+Q39+R39+S39+T39+U39+V39+W39+X39)*4</f>
        <v>0</v>
      </c>
      <c r="Z39" s="299">
        <f t="shared" si="3"/>
        <v>0</v>
      </c>
    </row>
    <row r="40" spans="2:26" ht="18" customHeight="1" thickTop="1" thickBot="1" x14ac:dyDescent="0.4">
      <c r="B40" s="349">
        <v>1114</v>
      </c>
      <c r="C40" s="301" t="s">
        <v>163</v>
      </c>
      <c r="D40" s="350"/>
      <c r="E40" s="351" t="s">
        <v>48</v>
      </c>
      <c r="F40" s="351">
        <v>10</v>
      </c>
      <c r="G40" s="381">
        <v>170</v>
      </c>
      <c r="H40" s="375"/>
      <c r="I40" s="354"/>
      <c r="J40" s="355"/>
      <c r="K40" s="356"/>
      <c r="L40" s="357"/>
      <c r="M40" s="358"/>
      <c r="N40" s="359"/>
      <c r="O40" s="360"/>
      <c r="P40" s="361"/>
      <c r="Q40" s="362"/>
      <c r="R40" s="363"/>
      <c r="S40" s="364"/>
      <c r="T40" s="405"/>
      <c r="U40" s="366"/>
      <c r="V40" s="367"/>
      <c r="W40" s="368"/>
      <c r="X40" s="376"/>
      <c r="Y40" s="347">
        <f>(H40+I40+J40+K40+M40+L40+N40+O40+P40+Q40+R40+S40+T40+U40+V40+W40+X40)*10</f>
        <v>0</v>
      </c>
      <c r="Z40" s="299">
        <f t="shared" si="3"/>
        <v>0</v>
      </c>
    </row>
    <row r="41" spans="2:26" ht="18" customHeight="1" thickTop="1" thickBot="1" x14ac:dyDescent="0.4">
      <c r="B41" s="322">
        <v>1115</v>
      </c>
      <c r="C41" s="323" t="s">
        <v>164</v>
      </c>
      <c r="D41" s="324"/>
      <c r="E41" s="325" t="s">
        <v>49</v>
      </c>
      <c r="F41" s="325">
        <v>8</v>
      </c>
      <c r="G41" s="326">
        <v>160</v>
      </c>
      <c r="H41" s="327"/>
      <c r="I41" s="328"/>
      <c r="J41" s="329"/>
      <c r="K41" s="330"/>
      <c r="L41" s="331"/>
      <c r="M41" s="332"/>
      <c r="N41" s="333"/>
      <c r="O41" s="334"/>
      <c r="P41" s="335"/>
      <c r="Q41" s="336"/>
      <c r="R41" s="337"/>
      <c r="S41" s="338"/>
      <c r="T41" s="406"/>
      <c r="U41" s="340"/>
      <c r="V41" s="341"/>
      <c r="W41" s="342"/>
      <c r="X41" s="343"/>
      <c r="Y41" s="347">
        <f>(H41+I41+J41+K41+M41+L41+N41+O41+P41+Q41+R41+S41+T41+U41+V41+W41+X41)*8</f>
        <v>0</v>
      </c>
      <c r="Z41" s="299">
        <f t="shared" si="3"/>
        <v>0</v>
      </c>
    </row>
    <row r="42" spans="2:26" ht="18" customHeight="1" thickTop="1" thickBot="1" x14ac:dyDescent="0.4">
      <c r="B42" s="300">
        <v>1116</v>
      </c>
      <c r="C42" s="345" t="s">
        <v>165</v>
      </c>
      <c r="D42" s="302"/>
      <c r="E42" s="303" t="s">
        <v>49</v>
      </c>
      <c r="F42" s="303">
        <v>6</v>
      </c>
      <c r="G42" s="304">
        <v>140</v>
      </c>
      <c r="H42" s="305"/>
      <c r="I42" s="306"/>
      <c r="J42" s="307"/>
      <c r="K42" s="308"/>
      <c r="L42" s="309"/>
      <c r="M42" s="310"/>
      <c r="N42" s="311"/>
      <c r="O42" s="312"/>
      <c r="P42" s="313"/>
      <c r="Q42" s="314"/>
      <c r="R42" s="315"/>
      <c r="S42" s="316"/>
      <c r="T42" s="407"/>
      <c r="U42" s="318"/>
      <c r="V42" s="319"/>
      <c r="W42" s="320"/>
      <c r="X42" s="321"/>
      <c r="Y42" s="347">
        <f t="shared" ref="Y42:Y43" si="7">(H42+I42+J42+K42+M42+L42+N42+O42+P42+Q42+R42+S42+T42+U42+V42+W42+X42)*6</f>
        <v>0</v>
      </c>
      <c r="Z42" s="299">
        <f t="shared" si="3"/>
        <v>0</v>
      </c>
    </row>
    <row r="43" spans="2:26" ht="18" customHeight="1" thickTop="1" thickBot="1" x14ac:dyDescent="0.4">
      <c r="B43" s="300">
        <v>1117</v>
      </c>
      <c r="C43" s="301" t="s">
        <v>166</v>
      </c>
      <c r="D43" s="350"/>
      <c r="E43" s="351" t="s">
        <v>49</v>
      </c>
      <c r="F43" s="351">
        <v>6</v>
      </c>
      <c r="G43" s="352">
        <v>160</v>
      </c>
      <c r="H43" s="375"/>
      <c r="I43" s="354"/>
      <c r="J43" s="355"/>
      <c r="K43" s="356"/>
      <c r="L43" s="357"/>
      <c r="M43" s="358"/>
      <c r="N43" s="359"/>
      <c r="O43" s="360"/>
      <c r="P43" s="361"/>
      <c r="Q43" s="362"/>
      <c r="R43" s="363"/>
      <c r="S43" s="364"/>
      <c r="T43" s="405"/>
      <c r="U43" s="366"/>
      <c r="V43" s="367"/>
      <c r="W43" s="368"/>
      <c r="X43" s="376"/>
      <c r="Y43" s="347">
        <f t="shared" si="7"/>
        <v>0</v>
      </c>
      <c r="Z43" s="299">
        <f t="shared" si="3"/>
        <v>0</v>
      </c>
    </row>
    <row r="44" spans="2:26" ht="18" customHeight="1" thickTop="1" thickBot="1" x14ac:dyDescent="0.4">
      <c r="B44" s="322">
        <v>1118</v>
      </c>
      <c r="C44" s="323" t="s">
        <v>167</v>
      </c>
      <c r="D44" s="324"/>
      <c r="E44" s="325" t="s">
        <v>53</v>
      </c>
      <c r="F44" s="325">
        <v>4</v>
      </c>
      <c r="G44" s="326">
        <v>220</v>
      </c>
      <c r="H44" s="327"/>
      <c r="I44" s="328"/>
      <c r="J44" s="329"/>
      <c r="K44" s="330"/>
      <c r="L44" s="331"/>
      <c r="M44" s="332"/>
      <c r="N44" s="333"/>
      <c r="O44" s="334"/>
      <c r="P44" s="335"/>
      <c r="Q44" s="336"/>
      <c r="R44" s="337"/>
      <c r="S44" s="338"/>
      <c r="T44" s="406"/>
      <c r="U44" s="340"/>
      <c r="V44" s="341"/>
      <c r="W44" s="342"/>
      <c r="X44" s="343"/>
      <c r="Y44" s="347">
        <f>(H44+I44+J44+K44+M44+L44+N44+O44+P44+Q44+R44+S44+T44+U44+V44+W44+X44)*4</f>
        <v>0</v>
      </c>
      <c r="Z44" s="299">
        <f t="shared" si="3"/>
        <v>0</v>
      </c>
    </row>
    <row r="45" spans="2:26" ht="18" customHeight="1" thickTop="1" thickBot="1" x14ac:dyDescent="0.4">
      <c r="B45" s="300">
        <v>1119</v>
      </c>
      <c r="C45" s="345" t="s">
        <v>168</v>
      </c>
      <c r="D45" s="302"/>
      <c r="E45" s="303" t="s">
        <v>50</v>
      </c>
      <c r="F45" s="303">
        <v>4</v>
      </c>
      <c r="G45" s="304">
        <v>150</v>
      </c>
      <c r="H45" s="305"/>
      <c r="I45" s="306"/>
      <c r="J45" s="307"/>
      <c r="K45" s="308"/>
      <c r="L45" s="309"/>
      <c r="M45" s="310"/>
      <c r="N45" s="311"/>
      <c r="O45" s="312"/>
      <c r="P45" s="313"/>
      <c r="Q45" s="314"/>
      <c r="R45" s="315"/>
      <c r="S45" s="316"/>
      <c r="T45" s="407"/>
      <c r="U45" s="318"/>
      <c r="V45" s="319"/>
      <c r="W45" s="320"/>
      <c r="X45" s="321"/>
      <c r="Y45" s="347">
        <f>(H45+I45+J45+K45+M45+L45+N45+O45+P45+Q45+R45+S45+T45+U45+V45+W45+X45)*4</f>
        <v>0</v>
      </c>
      <c r="Z45" s="299">
        <f t="shared" si="3"/>
        <v>0</v>
      </c>
    </row>
    <row r="46" spans="2:26" ht="18" customHeight="1" thickTop="1" thickBot="1" x14ac:dyDescent="0.4">
      <c r="B46" s="349">
        <v>1120</v>
      </c>
      <c r="C46" s="301" t="s">
        <v>169</v>
      </c>
      <c r="D46" s="350"/>
      <c r="E46" s="351" t="s">
        <v>51</v>
      </c>
      <c r="F46" s="351">
        <v>2</v>
      </c>
      <c r="G46" s="352">
        <v>150</v>
      </c>
      <c r="H46" s="375"/>
      <c r="I46" s="354"/>
      <c r="J46" s="355"/>
      <c r="K46" s="356"/>
      <c r="L46" s="357"/>
      <c r="M46" s="358"/>
      <c r="N46" s="359"/>
      <c r="O46" s="360"/>
      <c r="P46" s="361"/>
      <c r="Q46" s="362"/>
      <c r="R46" s="363"/>
      <c r="S46" s="364"/>
      <c r="T46" s="405"/>
      <c r="U46" s="366"/>
      <c r="V46" s="367"/>
      <c r="W46" s="368"/>
      <c r="X46" s="376"/>
      <c r="Y46" s="347">
        <f t="shared" ref="Y46:Y47" si="8">(H46+I46+J46+K46+M46+L46+N46+O46+P46+Q46+R46+S46+T46+U46+V46+W46+X46)*2</f>
        <v>0</v>
      </c>
      <c r="Z46" s="299">
        <f t="shared" si="3"/>
        <v>0</v>
      </c>
    </row>
    <row r="47" spans="2:26" ht="18" customHeight="1" thickTop="1" thickBot="1" x14ac:dyDescent="0.4">
      <c r="B47" s="322">
        <v>1121</v>
      </c>
      <c r="C47" s="323" t="s">
        <v>170</v>
      </c>
      <c r="D47" s="324"/>
      <c r="E47" s="325" t="s">
        <v>51</v>
      </c>
      <c r="F47" s="325">
        <v>2</v>
      </c>
      <c r="G47" s="326">
        <v>150</v>
      </c>
      <c r="H47" s="327"/>
      <c r="I47" s="328"/>
      <c r="J47" s="329"/>
      <c r="K47" s="330"/>
      <c r="L47" s="331"/>
      <c r="M47" s="332"/>
      <c r="N47" s="333"/>
      <c r="O47" s="334"/>
      <c r="P47" s="335"/>
      <c r="Q47" s="336"/>
      <c r="R47" s="337"/>
      <c r="S47" s="338"/>
      <c r="T47" s="406"/>
      <c r="U47" s="340"/>
      <c r="V47" s="341"/>
      <c r="W47" s="342"/>
      <c r="X47" s="343"/>
      <c r="Y47" s="344">
        <f t="shared" si="8"/>
        <v>0</v>
      </c>
      <c r="Z47" s="299">
        <f t="shared" si="3"/>
        <v>0</v>
      </c>
    </row>
    <row r="48" spans="2:26" ht="18" customHeight="1" thickTop="1" thickBot="1" x14ac:dyDescent="0.4">
      <c r="B48" s="408">
        <v>1122</v>
      </c>
      <c r="C48" s="409" t="s">
        <v>171</v>
      </c>
      <c r="D48" s="410"/>
      <c r="E48" s="411" t="s">
        <v>54</v>
      </c>
      <c r="F48" s="411">
        <f>SUM(F27:F47)</f>
        <v>184</v>
      </c>
      <c r="G48" s="412">
        <v>2900</v>
      </c>
      <c r="H48" s="413"/>
      <c r="I48" s="414"/>
      <c r="J48" s="415"/>
      <c r="K48" s="416"/>
      <c r="L48" s="417"/>
      <c r="M48" s="418"/>
      <c r="N48" s="419"/>
      <c r="O48" s="420"/>
      <c r="P48" s="421"/>
      <c r="Q48" s="422"/>
      <c r="R48" s="423"/>
      <c r="S48" s="424"/>
      <c r="T48" s="425"/>
      <c r="U48" s="426"/>
      <c r="V48" s="427"/>
      <c r="W48" s="428"/>
      <c r="X48" s="417"/>
      <c r="Y48" s="429">
        <f>(H48+I48+J48+K48+M48+L48+N48+O48+P48+Q48+R48+S48+T48+U48+V48+W48+X48)*184</f>
        <v>0</v>
      </c>
      <c r="Z48" s="299">
        <f t="shared" si="3"/>
        <v>0</v>
      </c>
    </row>
    <row r="49" spans="2:26" ht="8" customHeight="1" thickTop="1" thickBot="1" x14ac:dyDescent="0.5">
      <c r="B49" s="111"/>
      <c r="C49" s="111"/>
      <c r="D49" s="112"/>
      <c r="E49" s="111"/>
      <c r="F49" s="111"/>
      <c r="G49" s="113"/>
      <c r="H49" s="114"/>
      <c r="I49" s="115"/>
      <c r="J49" s="116"/>
      <c r="K49" s="117"/>
      <c r="L49" s="118"/>
      <c r="M49" s="119"/>
      <c r="N49" s="120"/>
      <c r="O49" s="121"/>
      <c r="P49" s="122"/>
      <c r="Q49" s="123"/>
      <c r="R49" s="124"/>
      <c r="S49" s="125"/>
      <c r="T49" s="126"/>
      <c r="U49" s="127"/>
      <c r="V49" s="128"/>
      <c r="W49" s="129"/>
      <c r="X49" s="118"/>
      <c r="Y49" s="130"/>
      <c r="Z49" s="131"/>
    </row>
    <row r="50" spans="2:26" ht="42.75" customHeight="1" thickTop="1" thickBot="1" x14ac:dyDescent="0.5">
      <c r="B50" s="1012" t="s">
        <v>396</v>
      </c>
      <c r="C50" s="977"/>
      <c r="D50" s="977"/>
      <c r="E50" s="977"/>
      <c r="F50" s="977"/>
      <c r="G50" s="977"/>
      <c r="H50" s="1013"/>
      <c r="I50" s="977"/>
      <c r="J50" s="977"/>
      <c r="K50" s="977"/>
      <c r="L50" s="977"/>
      <c r="M50" s="977"/>
      <c r="N50" s="977"/>
      <c r="O50" s="977"/>
      <c r="P50" s="977"/>
      <c r="Q50" s="977"/>
      <c r="R50" s="977"/>
      <c r="S50" s="977"/>
      <c r="T50" s="977"/>
      <c r="U50" s="977"/>
      <c r="V50" s="977"/>
      <c r="W50" s="977"/>
      <c r="X50" s="977"/>
      <c r="Y50" s="132"/>
      <c r="Z50" s="133"/>
    </row>
    <row r="51" spans="2:26" ht="18" customHeight="1" thickTop="1" thickBot="1" x14ac:dyDescent="0.4">
      <c r="B51" s="322">
        <v>1201</v>
      </c>
      <c r="C51" s="323" t="s">
        <v>172</v>
      </c>
      <c r="D51" s="324"/>
      <c r="E51" s="325" t="s">
        <v>46</v>
      </c>
      <c r="F51" s="325">
        <v>16</v>
      </c>
      <c r="G51" s="326">
        <v>100</v>
      </c>
      <c r="H51" s="327"/>
      <c r="I51" s="328"/>
      <c r="J51" s="329"/>
      <c r="K51" s="330"/>
      <c r="L51" s="331"/>
      <c r="M51" s="332"/>
      <c r="N51" s="333"/>
      <c r="O51" s="334"/>
      <c r="P51" s="335"/>
      <c r="Q51" s="336"/>
      <c r="R51" s="337"/>
      <c r="S51" s="338"/>
      <c r="T51" s="406"/>
      <c r="U51" s="340"/>
      <c r="V51" s="341"/>
      <c r="W51" s="342"/>
      <c r="X51" s="343"/>
      <c r="Y51" s="344">
        <f>(H51+I51+J51+K51+M51+L51+N51+O51+P51+Q51+R51+S51+T51+U51+V51+W51+X51)*16</f>
        <v>0</v>
      </c>
      <c r="Z51" s="299">
        <f>(H51+I51+J51+K51+L51+M51+N51+O51+P51+Q51+R51+S51+T51)*G51+(U51+V51+W51+X51)*(G51*1.05)</f>
        <v>0</v>
      </c>
    </row>
    <row r="52" spans="2:26" ht="18" customHeight="1" thickTop="1" thickBot="1" x14ac:dyDescent="0.4">
      <c r="B52" s="430">
        <v>1202</v>
      </c>
      <c r="C52" s="431" t="s">
        <v>173</v>
      </c>
      <c r="D52" s="432"/>
      <c r="E52" s="433" t="s">
        <v>47</v>
      </c>
      <c r="F52" s="433">
        <v>10</v>
      </c>
      <c r="G52" s="434">
        <v>120</v>
      </c>
      <c r="H52" s="435"/>
      <c r="I52" s="436"/>
      <c r="J52" s="437"/>
      <c r="K52" s="438"/>
      <c r="L52" s="439"/>
      <c r="M52" s="440"/>
      <c r="N52" s="441"/>
      <c r="O52" s="442"/>
      <c r="P52" s="443"/>
      <c r="Q52" s="444"/>
      <c r="R52" s="445"/>
      <c r="S52" s="446"/>
      <c r="T52" s="447"/>
      <c r="U52" s="448"/>
      <c r="V52" s="449"/>
      <c r="W52" s="450"/>
      <c r="X52" s="451"/>
      <c r="Y52" s="429">
        <f>(H52+I52+J52+K52+M52+L52+N52+O52+P52+Q52+R52+S52+T52+U52+V52+W52+X52)*10</f>
        <v>0</v>
      </c>
      <c r="Z52" s="452">
        <f>(H52+I52+J52+K52+L52+M52+N52+O52+P52+Q52+R52+S52+T52)*G52+(U52+V52+W52+X52)*(G52*1.05)</f>
        <v>0</v>
      </c>
    </row>
    <row r="53" spans="2:26" ht="8" customHeight="1" thickTop="1" x14ac:dyDescent="0.45">
      <c r="B53" s="210"/>
      <c r="C53" s="211"/>
      <c r="D53" s="212"/>
      <c r="E53" s="211"/>
      <c r="F53" s="210"/>
      <c r="G53" s="213"/>
      <c r="H53" s="214"/>
      <c r="I53" s="215"/>
      <c r="J53" s="216"/>
      <c r="K53" s="217"/>
      <c r="L53" s="218"/>
      <c r="M53" s="219"/>
      <c r="N53" s="220"/>
      <c r="O53" s="221"/>
      <c r="P53" s="222"/>
      <c r="Q53" s="223"/>
      <c r="R53" s="224"/>
      <c r="S53" s="225"/>
      <c r="T53" s="226"/>
      <c r="U53" s="227"/>
      <c r="V53" s="228"/>
      <c r="W53" s="229"/>
      <c r="X53" s="218"/>
      <c r="Y53" s="230"/>
      <c r="Z53" s="231"/>
    </row>
    <row r="54" spans="2:26" ht="42.75" customHeight="1" thickBot="1" x14ac:dyDescent="0.4">
      <c r="B54" s="995" t="s">
        <v>399</v>
      </c>
      <c r="C54" s="996"/>
      <c r="D54" s="996"/>
      <c r="E54" s="996"/>
      <c r="F54" s="996"/>
      <c r="G54" s="996"/>
      <c r="H54" s="989"/>
      <c r="I54" s="990"/>
      <c r="J54" s="990"/>
      <c r="K54" s="990"/>
      <c r="L54" s="990"/>
      <c r="M54" s="990"/>
      <c r="N54" s="990"/>
      <c r="O54" s="990"/>
      <c r="P54" s="990"/>
      <c r="Q54" s="990"/>
      <c r="R54" s="990"/>
      <c r="S54" s="990"/>
      <c r="T54" s="990"/>
      <c r="U54" s="990"/>
      <c r="V54" s="990"/>
      <c r="W54" s="990"/>
      <c r="X54" s="990"/>
      <c r="Y54" s="990"/>
      <c r="Z54" s="990"/>
    </row>
    <row r="55" spans="2:26" ht="18" customHeight="1" thickTop="1" thickBot="1" x14ac:dyDescent="0.4">
      <c r="B55" s="349">
        <v>1401</v>
      </c>
      <c r="C55" s="301" t="s">
        <v>174</v>
      </c>
      <c r="D55" s="350" t="s">
        <v>107</v>
      </c>
      <c r="E55" s="351" t="s">
        <v>47</v>
      </c>
      <c r="F55" s="351">
        <v>16</v>
      </c>
      <c r="G55" s="637">
        <v>100</v>
      </c>
      <c r="H55" s="353"/>
      <c r="I55" s="354"/>
      <c r="J55" s="355"/>
      <c r="K55" s="356"/>
      <c r="L55" s="357"/>
      <c r="M55" s="358"/>
      <c r="N55" s="359"/>
      <c r="O55" s="360"/>
      <c r="P55" s="361"/>
      <c r="Q55" s="362"/>
      <c r="R55" s="363"/>
      <c r="S55" s="364"/>
      <c r="T55" s="1058"/>
      <c r="U55" s="1059"/>
      <c r="V55" s="367"/>
      <c r="W55" s="368"/>
      <c r="X55" s="1060"/>
      <c r="Y55" s="453">
        <f>(H55+I55+J55+K55+M55+L55+N55+O55+P55+Q55+R55+S55+T55+U55+V55+W55+X55)*16</f>
        <v>0</v>
      </c>
      <c r="Z55" s="454">
        <f t="shared" ref="Z55:Z63" si="9">(H55+I55+J55+K55+L55+M55+N55+O55+P55+Q55+R55+S55+T55)*G55+(U55+V55+W55+X55)*(G55*1.05)</f>
        <v>0</v>
      </c>
    </row>
    <row r="56" spans="2:26" ht="18" customHeight="1" thickTop="1" thickBot="1" x14ac:dyDescent="0.4">
      <c r="B56" s="349">
        <v>1402</v>
      </c>
      <c r="C56" s="301" t="s">
        <v>175</v>
      </c>
      <c r="D56" s="350" t="s">
        <v>107</v>
      </c>
      <c r="E56" s="351" t="s">
        <v>57</v>
      </c>
      <c r="F56" s="351">
        <v>8</v>
      </c>
      <c r="G56" s="637">
        <v>140</v>
      </c>
      <c r="H56" s="353"/>
      <c r="I56" s="354"/>
      <c r="J56" s="355"/>
      <c r="K56" s="356"/>
      <c r="L56" s="357"/>
      <c r="M56" s="358"/>
      <c r="N56" s="359"/>
      <c r="O56" s="360"/>
      <c r="P56" s="361"/>
      <c r="Q56" s="362"/>
      <c r="R56" s="363"/>
      <c r="S56" s="364"/>
      <c r="T56" s="1058"/>
      <c r="U56" s="1059"/>
      <c r="V56" s="367"/>
      <c r="W56" s="368"/>
      <c r="X56" s="1060"/>
      <c r="Y56" s="453">
        <f>(H56+I56+J56+K56+M56+L56+N56+O56+P56+Q56+R56+S56+T56+U56+V56+W56+X56)*8</f>
        <v>0</v>
      </c>
      <c r="Z56" s="454">
        <f t="shared" si="9"/>
        <v>0</v>
      </c>
    </row>
    <row r="57" spans="2:26" ht="18" customHeight="1" thickTop="1" thickBot="1" x14ac:dyDescent="0.4">
      <c r="B57" s="322">
        <v>1403</v>
      </c>
      <c r="C57" s="323" t="s">
        <v>176</v>
      </c>
      <c r="D57" s="324" t="s">
        <v>107</v>
      </c>
      <c r="E57" s="325" t="s">
        <v>48</v>
      </c>
      <c r="F57" s="325">
        <v>8</v>
      </c>
      <c r="G57" s="1070">
        <v>130</v>
      </c>
      <c r="H57" s="369"/>
      <c r="I57" s="328"/>
      <c r="J57" s="329"/>
      <c r="K57" s="330"/>
      <c r="L57" s="331"/>
      <c r="M57" s="332"/>
      <c r="N57" s="333"/>
      <c r="O57" s="334"/>
      <c r="P57" s="335"/>
      <c r="Q57" s="336"/>
      <c r="R57" s="337"/>
      <c r="S57" s="338"/>
      <c r="T57" s="1061"/>
      <c r="U57" s="1062"/>
      <c r="V57" s="341"/>
      <c r="W57" s="342"/>
      <c r="X57" s="1063"/>
      <c r="Y57" s="455">
        <f>(H57+I57+J57+K57+M57+L57+N57+O57+P57+Q57+R57+S57+T57+U57+V57+W57+X57)*8</f>
        <v>0</v>
      </c>
      <c r="Z57" s="456">
        <f t="shared" si="9"/>
        <v>0</v>
      </c>
    </row>
    <row r="58" spans="2:26" ht="18" customHeight="1" thickBot="1" x14ac:dyDescent="0.4">
      <c r="B58" s="457">
        <v>1404</v>
      </c>
      <c r="C58" s="345" t="s">
        <v>177</v>
      </c>
      <c r="D58" s="302" t="s">
        <v>107</v>
      </c>
      <c r="E58" s="458" t="s">
        <v>53</v>
      </c>
      <c r="F58" s="458">
        <v>6</v>
      </c>
      <c r="G58" s="632">
        <v>220</v>
      </c>
      <c r="H58" s="595"/>
      <c r="I58" s="306"/>
      <c r="J58" s="307"/>
      <c r="K58" s="308"/>
      <c r="L58" s="309"/>
      <c r="M58" s="310"/>
      <c r="N58" s="311"/>
      <c r="O58" s="312"/>
      <c r="P58" s="313"/>
      <c r="Q58" s="314"/>
      <c r="R58" s="315"/>
      <c r="S58" s="316"/>
      <c r="T58" s="1064"/>
      <c r="U58" s="1065"/>
      <c r="V58" s="319"/>
      <c r="W58" s="320"/>
      <c r="X58" s="1066"/>
      <c r="Y58" s="459">
        <f>(H58+I58+J58+K58+M58+L58+N58+O58+P58+Q58+R58+S58+T58+U58+V58+W58+X58)*6</f>
        <v>0</v>
      </c>
      <c r="Z58" s="460">
        <f t="shared" si="9"/>
        <v>0</v>
      </c>
    </row>
    <row r="59" spans="2:26" ht="18" customHeight="1" thickTop="1" thickBot="1" x14ac:dyDescent="0.4">
      <c r="B59" s="349">
        <v>1405</v>
      </c>
      <c r="C59" s="301" t="s">
        <v>178</v>
      </c>
      <c r="D59" s="350" t="s">
        <v>107</v>
      </c>
      <c r="E59" s="351" t="s">
        <v>51</v>
      </c>
      <c r="F59" s="351">
        <v>4</v>
      </c>
      <c r="G59" s="637">
        <v>350</v>
      </c>
      <c r="H59" s="353"/>
      <c r="I59" s="354"/>
      <c r="J59" s="355"/>
      <c r="K59" s="356"/>
      <c r="L59" s="357"/>
      <c r="M59" s="358"/>
      <c r="N59" s="359"/>
      <c r="O59" s="360"/>
      <c r="P59" s="361"/>
      <c r="Q59" s="362"/>
      <c r="R59" s="363"/>
      <c r="S59" s="364"/>
      <c r="T59" s="1058"/>
      <c r="U59" s="1059"/>
      <c r="V59" s="367"/>
      <c r="W59" s="368"/>
      <c r="X59" s="1060"/>
      <c r="Y59" s="453">
        <f>(H59+I59+J59+K59+M59+L59+N59+O59+P59+Q59+R59+S59+T59+U59+V59+W59+X59)*4</f>
        <v>0</v>
      </c>
      <c r="Z59" s="454">
        <f t="shared" si="9"/>
        <v>0</v>
      </c>
    </row>
    <row r="60" spans="2:26" ht="18" customHeight="1" thickTop="1" thickBot="1" x14ac:dyDescent="0.4">
      <c r="B60" s="322">
        <v>1406</v>
      </c>
      <c r="C60" s="323" t="s">
        <v>179</v>
      </c>
      <c r="D60" s="324" t="s">
        <v>107</v>
      </c>
      <c r="E60" s="325" t="s">
        <v>88</v>
      </c>
      <c r="F60" s="325">
        <v>10</v>
      </c>
      <c r="G60" s="1070">
        <v>130</v>
      </c>
      <c r="H60" s="369"/>
      <c r="I60" s="328"/>
      <c r="J60" s="329"/>
      <c r="K60" s="330"/>
      <c r="L60" s="331"/>
      <c r="M60" s="332"/>
      <c r="N60" s="333"/>
      <c r="O60" s="334"/>
      <c r="P60" s="335"/>
      <c r="Q60" s="336"/>
      <c r="R60" s="337"/>
      <c r="S60" s="338"/>
      <c r="T60" s="1061"/>
      <c r="U60" s="1062"/>
      <c r="V60" s="341"/>
      <c r="W60" s="342"/>
      <c r="X60" s="1063"/>
      <c r="Y60" s="455">
        <f>(H60+I60+J60+K60+M60+L60+N60+O60+P60+Q60+R60+S60+T60+U60+V60+W60+X60)*10</f>
        <v>0</v>
      </c>
      <c r="Z60" s="454">
        <f t="shared" si="9"/>
        <v>0</v>
      </c>
    </row>
    <row r="61" spans="2:26" ht="18" customHeight="1" thickTop="1" thickBot="1" x14ac:dyDescent="0.4">
      <c r="B61" s="457">
        <v>1407</v>
      </c>
      <c r="C61" s="345" t="s">
        <v>180</v>
      </c>
      <c r="D61" s="302" t="s">
        <v>107</v>
      </c>
      <c r="E61" s="458" t="s">
        <v>49</v>
      </c>
      <c r="F61" s="458">
        <v>4</v>
      </c>
      <c r="G61" s="632">
        <v>100</v>
      </c>
      <c r="H61" s="595"/>
      <c r="I61" s="306"/>
      <c r="J61" s="307"/>
      <c r="K61" s="308"/>
      <c r="L61" s="309"/>
      <c r="M61" s="310"/>
      <c r="N61" s="311"/>
      <c r="O61" s="312"/>
      <c r="P61" s="313"/>
      <c r="Q61" s="314"/>
      <c r="R61" s="315"/>
      <c r="S61" s="316"/>
      <c r="T61" s="1064"/>
      <c r="U61" s="1065"/>
      <c r="V61" s="319"/>
      <c r="W61" s="320"/>
      <c r="X61" s="1066"/>
      <c r="Y61" s="459">
        <f>(H61+I61+J61+K61+M61+L61+N61+O61+P61+Q61+R61+S61+T61+U61+V61+W61+X61)*4</f>
        <v>0</v>
      </c>
      <c r="Z61" s="454">
        <f t="shared" si="9"/>
        <v>0</v>
      </c>
    </row>
    <row r="62" spans="2:26" ht="18" customHeight="1" thickTop="1" thickBot="1" x14ac:dyDescent="0.4">
      <c r="B62" s="349">
        <v>1408</v>
      </c>
      <c r="C62" s="301" t="s">
        <v>181</v>
      </c>
      <c r="D62" s="350" t="s">
        <v>107</v>
      </c>
      <c r="E62" s="351" t="s">
        <v>136</v>
      </c>
      <c r="F62" s="351">
        <v>4</v>
      </c>
      <c r="G62" s="637">
        <v>230</v>
      </c>
      <c r="H62" s="353"/>
      <c r="I62" s="354"/>
      <c r="J62" s="355"/>
      <c r="K62" s="356"/>
      <c r="L62" s="357"/>
      <c r="M62" s="358"/>
      <c r="N62" s="359"/>
      <c r="O62" s="360"/>
      <c r="P62" s="361"/>
      <c r="Q62" s="362"/>
      <c r="R62" s="363"/>
      <c r="S62" s="364"/>
      <c r="T62" s="1058"/>
      <c r="U62" s="1059"/>
      <c r="V62" s="367"/>
      <c r="W62" s="368"/>
      <c r="X62" s="1060"/>
      <c r="Y62" s="453">
        <f>(H62+I62+J62+K62+M62+L62+N62+O62+P62+Q62+R62+S62+T62+U62+V62+W62+X62)*4</f>
        <v>0</v>
      </c>
      <c r="Z62" s="454">
        <f t="shared" si="9"/>
        <v>0</v>
      </c>
    </row>
    <row r="63" spans="2:26" ht="18" customHeight="1" thickTop="1" thickBot="1" x14ac:dyDescent="0.4">
      <c r="B63" s="430">
        <v>1409</v>
      </c>
      <c r="C63" s="898" t="s">
        <v>135</v>
      </c>
      <c r="D63" s="432" t="s">
        <v>107</v>
      </c>
      <c r="E63" s="433" t="s">
        <v>137</v>
      </c>
      <c r="F63" s="433">
        <f>F55+F56+F57+F58+F59+F60+F61+F62</f>
        <v>60</v>
      </c>
      <c r="G63" s="1071">
        <v>1400</v>
      </c>
      <c r="H63" s="1072"/>
      <c r="I63" s="436"/>
      <c r="J63" s="437"/>
      <c r="K63" s="438"/>
      <c r="L63" s="439"/>
      <c r="M63" s="440"/>
      <c r="N63" s="441"/>
      <c r="O63" s="442"/>
      <c r="P63" s="443"/>
      <c r="Q63" s="444"/>
      <c r="R63" s="445"/>
      <c r="S63" s="446"/>
      <c r="T63" s="1067"/>
      <c r="U63" s="1068"/>
      <c r="V63" s="449"/>
      <c r="W63" s="450"/>
      <c r="X63" s="1069"/>
      <c r="Y63" s="461">
        <f>(H63+I63+J63+K63+M63+L63+N63+O63+P63+Q63+R63+S63+T63+U63+V63+W63+X63)*60</f>
        <v>0</v>
      </c>
      <c r="Z63" s="462">
        <f t="shared" si="9"/>
        <v>0</v>
      </c>
    </row>
    <row r="64" spans="2:26" ht="8" customHeight="1" thickTop="1" x14ac:dyDescent="0.45">
      <c r="B64" s="242"/>
      <c r="C64" s="248"/>
      <c r="D64" s="249"/>
      <c r="E64" s="248"/>
      <c r="F64" s="242"/>
      <c r="G64" s="250"/>
      <c r="H64" s="252"/>
      <c r="I64" s="253"/>
      <c r="J64" s="254"/>
      <c r="K64" s="255"/>
      <c r="L64" s="256"/>
      <c r="M64" s="257"/>
      <c r="N64" s="258"/>
      <c r="O64" s="259"/>
      <c r="P64" s="260"/>
      <c r="Q64" s="261"/>
      <c r="R64" s="262"/>
      <c r="S64" s="263"/>
      <c r="T64" s="264"/>
      <c r="U64" s="265"/>
      <c r="V64" s="266"/>
      <c r="W64" s="267"/>
      <c r="X64" s="256"/>
      <c r="Y64" s="268"/>
      <c r="Z64" s="251"/>
    </row>
    <row r="65" spans="2:26" ht="18" customHeight="1" thickBot="1" x14ac:dyDescent="0.5">
      <c r="B65" s="232"/>
      <c r="C65" s="232"/>
      <c r="D65" s="232"/>
      <c r="E65" s="232"/>
      <c r="F65" s="232"/>
      <c r="G65" s="232"/>
      <c r="H65" s="233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234"/>
      <c r="Z65" s="234"/>
    </row>
    <row r="66" spans="2:26" ht="88.5" customHeight="1" x14ac:dyDescent="0.35">
      <c r="B66" s="970"/>
      <c r="C66" s="971"/>
      <c r="D66" s="971"/>
      <c r="E66" s="971"/>
      <c r="F66" s="971"/>
      <c r="G66" s="971"/>
      <c r="H66" s="31" t="s">
        <v>58</v>
      </c>
      <c r="I66" s="65" t="s">
        <v>59</v>
      </c>
      <c r="J66" s="32" t="s">
        <v>83</v>
      </c>
      <c r="K66" s="33" t="s">
        <v>60</v>
      </c>
      <c r="L66" s="34" t="s">
        <v>61</v>
      </c>
      <c r="M66" s="35" t="s">
        <v>62</v>
      </c>
      <c r="N66" s="36" t="s">
        <v>63</v>
      </c>
      <c r="O66" s="37" t="s">
        <v>64</v>
      </c>
      <c r="P66" s="38" t="s">
        <v>65</v>
      </c>
      <c r="Q66" s="39" t="s">
        <v>66</v>
      </c>
      <c r="R66" s="40" t="s">
        <v>67</v>
      </c>
      <c r="S66" s="41" t="s">
        <v>68</v>
      </c>
      <c r="T66" s="90" t="s">
        <v>69</v>
      </c>
      <c r="U66" s="42" t="s">
        <v>70</v>
      </c>
      <c r="V66" s="43" t="s">
        <v>71</v>
      </c>
      <c r="W66" s="44" t="s">
        <v>72</v>
      </c>
      <c r="X66" s="45" t="s">
        <v>73</v>
      </c>
      <c r="Y66" s="970"/>
      <c r="Z66" s="971"/>
    </row>
    <row r="67" spans="2:26" ht="18" customHeight="1" x14ac:dyDescent="0.35">
      <c r="B67" s="970"/>
      <c r="C67" s="971"/>
      <c r="E67" s="1003" t="s">
        <v>74</v>
      </c>
      <c r="F67" s="1004"/>
      <c r="G67" s="1005"/>
      <c r="H67" s="537">
        <f>(H10*20)+(H11*8)+(H12*8)+(H13*6)+(H14*4)+(H15*2)+(H16*8)+(H17*6)+(H18*2)+(H19*2)+(H20*10)+(H21*12)+(H22*10)+(H23*4)+(H24*102)+(H27*24)+(H28*16)+(H29*10)+(H30*10)+(H31*6)+(H32*4)+(H33*2)+(H34*12)+(H35*12)+(H36*10)+(H37*12)+(H38*20)+(H39*4)+(H40*10)+(H41*8)+(H42*6)+(H43*6)+(H44*4)+(H45*4)+(H46*2)+(H47*2)+(H48*184)+(H51*16)+(H52*10)+(H55*16)+(H56*8)+(H57*8)+(H58*6)+(H59*4)+(H60*10)+(H61*4)+(H62*4)+(H63*60)</f>
        <v>0</v>
      </c>
      <c r="I67" s="537">
        <f t="shared" ref="I67:X67" si="10">(I10*20)+(I11*8)+(I12*8)+(I13*6)+(I14*4)+(I15*2)+(I16*8)+(I17*6)+(I18*2)+(I19*2)+(I20*10)+(I21*12)+(I22*10)+(I23*4)+(I24*102)+(I27*24)+(I28*16)+(I29*10)+(I30*10)+(I31*6)+(I32*4)+(I33*2)+(I34*12)+(I35*12)+(I36*10)+(I37*12)+(I38*20)+(I39*4)+(I40*10)+(I41*8)+(I42*6)+(I43*6)+(I44*4)+(I45*4)+(I46*2)+(I47*2)+(I48*184)+(I51*16)+(I52*10)+(I55*16)+(I56*8)+(I57*8)+(I58*6)+(I59*4)+(I60*10)+(I61*4)+(I62*4)+(I63*60)</f>
        <v>0</v>
      </c>
      <c r="J67" s="537">
        <f t="shared" si="10"/>
        <v>0</v>
      </c>
      <c r="K67" s="537">
        <f t="shared" si="10"/>
        <v>0</v>
      </c>
      <c r="L67" s="537">
        <f t="shared" si="10"/>
        <v>0</v>
      </c>
      <c r="M67" s="537">
        <f t="shared" si="10"/>
        <v>0</v>
      </c>
      <c r="N67" s="537">
        <f t="shared" si="10"/>
        <v>0</v>
      </c>
      <c r="O67" s="537">
        <f t="shared" si="10"/>
        <v>0</v>
      </c>
      <c r="P67" s="537">
        <f t="shared" si="10"/>
        <v>0</v>
      </c>
      <c r="Q67" s="537">
        <f t="shared" si="10"/>
        <v>0</v>
      </c>
      <c r="R67" s="537">
        <f t="shared" si="10"/>
        <v>0</v>
      </c>
      <c r="S67" s="537">
        <f t="shared" si="10"/>
        <v>0</v>
      </c>
      <c r="T67" s="537">
        <f t="shared" si="10"/>
        <v>0</v>
      </c>
      <c r="U67" s="537">
        <f t="shared" si="10"/>
        <v>0</v>
      </c>
      <c r="V67" s="537">
        <f t="shared" si="10"/>
        <v>0</v>
      </c>
      <c r="W67" s="537">
        <f t="shared" si="10"/>
        <v>0</v>
      </c>
      <c r="X67" s="537">
        <f t="shared" si="10"/>
        <v>0</v>
      </c>
      <c r="Y67" s="971"/>
      <c r="Z67" s="971"/>
    </row>
    <row r="68" spans="2:26" ht="18" customHeight="1" x14ac:dyDescent="0.35">
      <c r="B68" s="971"/>
      <c r="C68" s="971"/>
      <c r="E68" s="1003" t="s">
        <v>75</v>
      </c>
      <c r="F68" s="1004"/>
      <c r="G68" s="1005"/>
      <c r="H68" s="537">
        <f>H10+H11+H12+H13+H14+H15+H16+H17+H18+H19+H20+H21+H22+H23+(H24*14)+H27+H28+H29+H30+H31+H32+H33+H34+H35+H36+H37+H38+H39+H40+H41+H42+H43+H44+H45+H46+H47+(H48*21)+H51+H52+H55+H56+H57+H58+H59+H60+H61+H62+(H63*8)</f>
        <v>0</v>
      </c>
      <c r="I68" s="537">
        <f t="shared" ref="I68:X68" si="11">I10+I11+I12+I13+I14+I15+I16+I17+I18+I19+I20+I21+I22+I23+(I24*14)+I27+I28+I29+I30+I31+I32+I33+I34+I35+I36+I37+I38+I39+I40+I41+I42+I43+I44+I45+I46+I47+(I48*21)+I51+I52+I55+I56+I57+I58+I59+I60+I61+I62+(I63*8)</f>
        <v>0</v>
      </c>
      <c r="J68" s="537">
        <f t="shared" si="11"/>
        <v>0</v>
      </c>
      <c r="K68" s="537">
        <f t="shared" si="11"/>
        <v>0</v>
      </c>
      <c r="L68" s="537">
        <f t="shared" si="11"/>
        <v>0</v>
      </c>
      <c r="M68" s="537">
        <f t="shared" si="11"/>
        <v>0</v>
      </c>
      <c r="N68" s="537">
        <f t="shared" si="11"/>
        <v>0</v>
      </c>
      <c r="O68" s="537">
        <f t="shared" si="11"/>
        <v>0</v>
      </c>
      <c r="P68" s="537">
        <f t="shared" si="11"/>
        <v>0</v>
      </c>
      <c r="Q68" s="537">
        <f t="shared" si="11"/>
        <v>0</v>
      </c>
      <c r="R68" s="537">
        <f t="shared" si="11"/>
        <v>0</v>
      </c>
      <c r="S68" s="537">
        <f t="shared" si="11"/>
        <v>0</v>
      </c>
      <c r="T68" s="537">
        <f t="shared" si="11"/>
        <v>0</v>
      </c>
      <c r="U68" s="537">
        <f t="shared" si="11"/>
        <v>0</v>
      </c>
      <c r="V68" s="537">
        <f t="shared" si="11"/>
        <v>0</v>
      </c>
      <c r="W68" s="537">
        <f t="shared" si="11"/>
        <v>0</v>
      </c>
      <c r="X68" s="537">
        <f t="shared" si="11"/>
        <v>0</v>
      </c>
      <c r="Y68" s="971"/>
      <c r="Z68" s="971"/>
    </row>
    <row r="69" spans="2:26" ht="14.25" customHeight="1" x14ac:dyDescent="0.45">
      <c r="B69" s="971"/>
      <c r="C69" s="971"/>
      <c r="E69" s="46"/>
      <c r="F69" s="46"/>
      <c r="G69" s="46"/>
      <c r="H69" s="987" t="s">
        <v>76</v>
      </c>
      <c r="I69" s="988"/>
      <c r="J69" s="988"/>
      <c r="K69" s="988"/>
      <c r="L69" s="988"/>
      <c r="M69" s="988"/>
      <c r="N69" s="988"/>
      <c r="O69" s="988"/>
      <c r="P69" s="988"/>
      <c r="Q69" s="988"/>
      <c r="R69" s="988"/>
      <c r="S69" s="988"/>
      <c r="T69" s="988"/>
      <c r="U69" s="988"/>
      <c r="V69" s="988"/>
      <c r="W69" s="988"/>
      <c r="X69" s="988"/>
      <c r="Y69" s="971"/>
      <c r="Z69" s="971"/>
    </row>
    <row r="70" spans="2:26" ht="14.25" customHeight="1" x14ac:dyDescent="0.45">
      <c r="B70" s="971"/>
      <c r="C70" s="971"/>
      <c r="E70" s="46"/>
      <c r="F70" s="46"/>
      <c r="G70" s="46"/>
      <c r="H70" s="240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971"/>
      <c r="Z70" s="971"/>
    </row>
    <row r="71" spans="2:26" ht="14.25" customHeight="1" x14ac:dyDescent="0.45">
      <c r="B71" s="971"/>
      <c r="C71" s="971"/>
      <c r="E71" s="46"/>
      <c r="F71" s="46"/>
      <c r="G71" s="46"/>
      <c r="H71" s="240"/>
      <c r="I71" s="239"/>
      <c r="J71" s="239"/>
      <c r="K71" s="239"/>
      <c r="L71" s="239"/>
      <c r="M71" s="239"/>
      <c r="N71" s="239"/>
      <c r="O71" s="239"/>
      <c r="P71" s="239"/>
      <c r="Q71" s="239"/>
      <c r="R71" s="239"/>
      <c r="S71" s="239"/>
      <c r="T71" s="239"/>
      <c r="U71" s="239"/>
      <c r="V71" s="239"/>
      <c r="W71" s="239"/>
      <c r="X71" s="239"/>
      <c r="Y71" s="971"/>
      <c r="Z71" s="971"/>
    </row>
    <row r="72" spans="2:26" ht="18" customHeight="1" x14ac:dyDescent="0.35">
      <c r="B72" s="971"/>
      <c r="C72" s="971"/>
      <c r="E72" s="991" t="s">
        <v>393</v>
      </c>
      <c r="F72" s="992"/>
      <c r="G72" s="992"/>
      <c r="H72" s="245">
        <v>40</v>
      </c>
      <c r="I72" s="246">
        <v>50</v>
      </c>
      <c r="J72" s="246">
        <v>60</v>
      </c>
      <c r="K72" s="245">
        <v>70</v>
      </c>
      <c r="L72" s="246">
        <v>80</v>
      </c>
      <c r="M72" s="246">
        <v>90</v>
      </c>
      <c r="N72" s="245">
        <v>100</v>
      </c>
      <c r="O72" s="246">
        <v>110</v>
      </c>
      <c r="P72" s="246">
        <v>120</v>
      </c>
      <c r="Q72" s="245">
        <v>130</v>
      </c>
      <c r="R72" s="246">
        <v>140</v>
      </c>
      <c r="S72" s="246">
        <v>150</v>
      </c>
      <c r="T72" s="245">
        <v>160</v>
      </c>
      <c r="U72" s="246">
        <v>170</v>
      </c>
      <c r="V72" s="246">
        <v>180</v>
      </c>
      <c r="W72" s="245">
        <v>190</v>
      </c>
      <c r="X72" s="239"/>
      <c r="Y72" s="971"/>
      <c r="Z72" s="971"/>
    </row>
    <row r="73" spans="2:26" ht="18" customHeight="1" x14ac:dyDescent="0.35">
      <c r="B73" s="971"/>
      <c r="C73" s="971"/>
      <c r="E73" s="991" t="s">
        <v>139</v>
      </c>
      <c r="F73" s="992"/>
      <c r="G73" s="992"/>
      <c r="H73" s="244">
        <f>(Y10/20*16)+(Y11*0)+(Y12*0)+(Y13*0)+(Y14*0)+(Y15*0)+(Y16*0)+(Y17*0)+(Y18*0)+(Y19*0)+(Y20*0)+(Y21*1)+(Y22*0)+(Y23*0)+(Y24/102*28)+(Y27*0)+(Y28*1)+(Y29*1)+(Y30*0)+(Y31*0)+(Y32*0)+(Y33*0)+(Y34*1)+(Y35*1)+(Y36*1)+(Y37/12*5)+(Y38*1)+(Y39*0)+(Y40*0)+(Y41*0)+(Y42*0)+(Y43*0)+(Y44*0)+(Y45*0)+(Y46*0)+(Y47*0)+(Y48/184*85)+(Y55/16*16)+(Y56*0)+(Y57*0)+(Y58*0)+(Y59*0)+(Y60*0)+(Y61*0)+(Y62*0)+(Y63/60*16)</f>
        <v>0</v>
      </c>
      <c r="I73" s="247">
        <f>(Y10*0)+(Y11*1)+(Y12*1)+(Y13*0)+(Y14*0)+(Y15*0)+(Y16*0)+(Y17*0)+(Y18*0)+(Y19*0)+(Y20*1)+(Y21*0)+(Y22*1)+(Y23*0)+(Y24/102*36)+(Y27*0)+(Y28*0)+(Y29*0)+(Y30/10*1)+(Y31*0)+(Y32*0)+(Y33*0)+(Y34*0)+(Y35*0)+(Y36*0)+(Y37*0)+(Y38*0)+(Y39*1)+(Y40*1)+(Y41*1)+(Y42*1)+(Y43*0)+(Y44*0)+(Y45*0)+(Y46*0)+(Y47*0)+(Y48/184*29)+(Y55*0)+(Y56/8*2)+(Y57/8*7)+(Y58/6*1)+(Y59*0)+(Y60/10*10)+(Y61/4*4)+(Y62*0)+(Y63/60*24)</f>
        <v>0</v>
      </c>
      <c r="J73" s="247">
        <f>(Y10*0)+(Y11*0)+(Y12*0)+(Y13*1)+(Y14*1)+(Y15*1)+(Y16*0)+(Y17*0)+(Y18*0)+(Y19*0)+(Y20*0)+(Y21*0)+(Y22*0)+(Y23*0)+(Y24/102*12)+(Y27*0)+(Y28*0)+(Y29*0)+(Y30/10*9)+(Y31/6*2)+(Y32*0)+(Y33*0)+(Y34*0)+(Y35*0)+(Y36*0)+(Y37*0)+(Y38*0)+(Y39*0)+(Y40*0)+(Y41*0)+(Y42*0)+(Y43*0)+(Y44*0)+(Y45*1)+(Y46*0)+(Y47*0)+(Y48/184*15)+(Y55*0)+(Y56*0)+(Y57/8*1)+(Y58/6*2)+(Y59/4*1)+(Y60*0)+(Y61*0)+(Y62/4*2)+(Y63/60*6)</f>
        <v>0</v>
      </c>
      <c r="K73" s="247">
        <f>(Y10*0)+(Y11*0)+(Y12*0)+(Y13*0)+(Y14*0)+(Y15*0)+(Y16*1)+(Y17*0)+(Y18*1)+(Y19*1)+(Y20*0)+(Y21*0)+(Y22*0)+(Y23*0)+(Y24/102*12)+(Y27*0)+(Y28*0)+(Y29*0)+(Y30*0)+(Y31/6*4)+(Y32*0)+(Y33*0)+(Y34*0)+(Y35*0)+(Y36*0)+(Y37*0)+(Y38*0)+(Y39*0)+(Y40*0)+(Y41*0)+(Y42*0)+(Y43*1)+(Y44*0)+(Y45*0)+(Y46*1)+(Y47*0)+(Y48/184*12)+(Y55*0)+(Y56/8*4)+(Y57*0)+(Y58*0)+(Y59*0)+(Y60*0)+(Y61*0)+(Y62/4*1)+(Y63/60*5)</f>
        <v>0</v>
      </c>
      <c r="L73" s="247">
        <f>(Y10*0)+(Y11*0)+(Y12*0)+(Y13*0)+(Y14*0)+(Y15*0)+(Y16*0)+(Y17*0)+(Y18*0)+(Y19*0)+(Y20*0)+(Y21*0)+(Y22*0)+(Y23*1)+(Y24/102*4)+(Y27*0)+(Y28*0)+(Y29*0)+(Y30*0)+(Y31*0)+(Y32*1)+(Y33*1)+(Y34*0)+(Y35*0)+(Y36*0)+(Y37*0)+(Y38*0)+(Y39*0)+(Y40*0)+(Y41*0)+(Y42*0)+(Y43*0)+(Y44/4*1)+(Y45*0)+(Y46*0)+(Y47*0)+(Y48/184*7)+(Y55*0)+(Y56/8*2)+(Y57*0)+(Y58/6*3)+(Y59/4*3)+(Y60*0)+(Y61*0)+(Y62/4*1)+(Y63/60*9)</f>
        <v>0</v>
      </c>
      <c r="M73" s="247">
        <f>(Y10*0)+(Y11*0)+(Y12*0)+(Y13*0)+(Y14*0)+(Y15*0)+(Y16*0)+(Y17*1)+(Y18*0)+(Y19*0)+(Y20*0)+(Y21*0)+(Y22*0)+(Y23*0)+(Y24/102*6)+(Y27*0)+(Y28*0)+(Y29*0)+(Y30*0)+(Y31*0)+(Y32*0)+(Y33*0)+(Y34*0)+(Y35*0)+(Y36*0)+(Y37*0)+(Y38*0)+(Y39*0)+(Y40*0)+(Y41*0)+(Y42*0)+(Y43*0)+(Y44*0)+(Y45*0)+(Y46*0)+(Y47*0)+(Y48*0)</f>
        <v>0</v>
      </c>
      <c r="N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/4*3)+(Y45*0)+(Y46*0)+(Y47*1)+(Y48/184*5)</f>
        <v>0</v>
      </c>
      <c r="O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P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Q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R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S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T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U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V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W73" s="247">
        <f>(Y10*0)+(Y11*0)+(Y12*0)+(Y13*0)+(Y14*0)+(Y15*0)+(Y16*0)+(Y17*0)+(Y18*0)+(Y19*0)+(Y20*0)+(Y21*0)+(Y22*0)+(Y23*0)+(Y24*0)+(Y27*0)+(Y28*0)+(Y29*0)+(Y30*0)+(Y31*0)+(Y32*0)+(Y33*0)+(Y34*0)+(Y35*0)+(Y36*0)+(Y37*0)+(Y38*0)+(Y39*0)+(Y40*0)+(Y41*0)+(Y42*0)+(Y43*0)+(Y44*0)+(Y45*0)+(Y46*0)+(Y47*0)+(Y48*0)</f>
        <v>0</v>
      </c>
      <c r="X73" s="239"/>
      <c r="Y73" s="971"/>
      <c r="Z73" s="971"/>
    </row>
    <row r="74" spans="2:26" ht="14.25" customHeight="1" x14ac:dyDescent="0.45">
      <c r="B74" s="971"/>
      <c r="C74" s="971"/>
      <c r="E74" s="993"/>
      <c r="F74" s="994"/>
      <c r="G74" s="994"/>
      <c r="H74" s="241"/>
      <c r="I74" s="239"/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39"/>
      <c r="U74" s="239"/>
      <c r="V74" s="239"/>
      <c r="W74" s="239"/>
      <c r="X74" s="239"/>
      <c r="Y74" s="971"/>
      <c r="Z74" s="971"/>
    </row>
    <row r="75" spans="2:26" ht="18" customHeight="1" x14ac:dyDescent="0.35">
      <c r="B75" s="971"/>
      <c r="C75" s="971"/>
      <c r="E75" s="991" t="s">
        <v>138</v>
      </c>
      <c r="F75" s="992"/>
      <c r="G75" s="992"/>
      <c r="H75" s="244">
        <f>(Y10/20*26)+(Y11*2)+(Y12*2)+(Y13*2)+(Y14*3)+(Y15*3)+(Y16*2)+(Y17*2)+(Y18*3)+(Y19*3)+(Y20*2)+(Y21*2)+(Y22*2)+(Y23/4*9)+(Y24/102*201)+(Y27*2)+(Y28/16*12)+(Y29*1)+(Y30*3)+(Y31*3)+(Y32*3)+(Y33*3)+(Y34*1)+(Y35*1)+(Y36*2)+(Y37/12*27)+(Y38*2)+(Y39*3)+(Y40*3)+(Y41*3)+(Y42*3)+(Y43*3)+(Y44*3)+(Y45*3)+(Y46*3)+(Y47*3)+(Y48/184*385)+(Y51*2)+(Y52*2)+(Y55*2)+(Y56/8*20)+(Y57*3)+(Y58*3)+(Y59/4*18)+(Y60*3)+(Y61/4*13)+(Y62*4)+(Y63/60*171)</f>
        <v>0</v>
      </c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971"/>
      <c r="Z75" s="971"/>
    </row>
    <row r="76" spans="2:26" ht="14.25" customHeight="1" x14ac:dyDescent="0.35">
      <c r="B76" s="971"/>
      <c r="C76" s="97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971"/>
      <c r="Z76" s="971"/>
    </row>
    <row r="77" spans="2:26" ht="14.25" customHeight="1" x14ac:dyDescent="0.35">
      <c r="B77" s="971"/>
      <c r="C77" s="97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971"/>
      <c r="Z77" s="971"/>
    </row>
    <row r="78" spans="2:26" ht="27.75" customHeight="1" x14ac:dyDescent="0.55000000000000004">
      <c r="B78" s="971"/>
      <c r="C78" s="971"/>
      <c r="E78" s="972" t="s">
        <v>18</v>
      </c>
      <c r="F78" s="973"/>
      <c r="G78" s="974"/>
      <c r="H78" s="972">
        <f t="shared" ref="H78:H79" si="12">H67+I67+J67+K67+L67+M67+N67+O67+P67+Q67+R67+S67+T67+U67+V67+W67+X67</f>
        <v>0</v>
      </c>
      <c r="I78" s="973"/>
      <c r="J78" s="973"/>
      <c r="K78" s="973"/>
      <c r="L78" s="974"/>
      <c r="M78" s="1"/>
      <c r="N78" s="1"/>
      <c r="O78" s="975"/>
      <c r="P78" s="976"/>
      <c r="Q78" s="976"/>
      <c r="R78" s="976"/>
      <c r="S78" s="977"/>
      <c r="T78" s="978"/>
      <c r="U78" s="976"/>
      <c r="V78" s="976"/>
      <c r="W78" s="976"/>
      <c r="X78" s="977"/>
      <c r="Y78" s="971"/>
      <c r="Z78" s="971"/>
    </row>
    <row r="79" spans="2:26" ht="27.75" customHeight="1" x14ac:dyDescent="0.55000000000000004">
      <c r="B79" s="971"/>
      <c r="C79" s="971"/>
      <c r="E79" s="972" t="s">
        <v>19</v>
      </c>
      <c r="F79" s="973"/>
      <c r="G79" s="974"/>
      <c r="H79" s="972">
        <f t="shared" si="12"/>
        <v>0</v>
      </c>
      <c r="I79" s="973"/>
      <c r="J79" s="973"/>
      <c r="K79" s="973"/>
      <c r="L79" s="97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971"/>
      <c r="Z79" s="971"/>
    </row>
    <row r="80" spans="2:26" ht="27.75" customHeight="1" x14ac:dyDescent="0.55000000000000004">
      <c r="B80" s="971"/>
      <c r="C80" s="971"/>
      <c r="E80" s="1017" t="s">
        <v>108</v>
      </c>
      <c r="F80" s="980"/>
      <c r="G80" s="981"/>
      <c r="H80" s="979">
        <f>SUM(Z10:Z63)</f>
        <v>0</v>
      </c>
      <c r="I80" s="980"/>
      <c r="J80" s="980"/>
      <c r="K80" s="980"/>
      <c r="L80" s="98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971"/>
      <c r="Z80" s="971"/>
    </row>
    <row r="81" spans="2:26" ht="14.25" customHeight="1" x14ac:dyDescent="0.35">
      <c r="B81" s="1"/>
      <c r="C81" s="1"/>
      <c r="D81" s="1"/>
      <c r="E81" s="1"/>
      <c r="F81" s="1"/>
      <c r="G81" s="1"/>
      <c r="H81" s="962" t="s">
        <v>17</v>
      </c>
      <c r="I81" s="963"/>
      <c r="J81" s="963"/>
      <c r="K81" s="963"/>
      <c r="L81" s="96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14.25" customHeight="1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14.25" customHeight="1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14.25" hidden="1" customHeight="1" x14ac:dyDescent="0.35"/>
    <row r="85" spans="2:26" ht="14.25" hidden="1" customHeight="1" x14ac:dyDescent="0.35"/>
    <row r="86" spans="2:26" ht="14.25" hidden="1" customHeight="1" x14ac:dyDescent="0.35"/>
    <row r="87" spans="2:26" ht="14.25" hidden="1" customHeight="1" x14ac:dyDescent="0.35"/>
    <row r="88" spans="2:26" ht="14.25" hidden="1" customHeight="1" x14ac:dyDescent="0.35"/>
    <row r="89" spans="2:26" ht="14.25" hidden="1" customHeight="1" x14ac:dyDescent="0.35"/>
    <row r="90" spans="2:26" ht="14.25" hidden="1" customHeight="1" x14ac:dyDescent="0.35"/>
    <row r="91" spans="2:26" ht="14.25" hidden="1" customHeight="1" x14ac:dyDescent="0.35"/>
    <row r="92" spans="2:26" ht="14.25" hidden="1" customHeight="1" x14ac:dyDescent="0.35"/>
    <row r="93" spans="2:26" ht="14.25" hidden="1" customHeight="1" x14ac:dyDescent="0.35"/>
    <row r="94" spans="2:26" ht="14.25" hidden="1" customHeight="1" x14ac:dyDescent="0.35"/>
    <row r="95" spans="2:26" ht="14.25" hidden="1" customHeight="1" x14ac:dyDescent="0.35"/>
    <row r="96" spans="2:26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4.25" hidden="1" customHeight="1" x14ac:dyDescent="0.35"/>
    <row r="1001" ht="14.25" hidden="1" customHeight="1" x14ac:dyDescent="0.35"/>
    <row r="1002" ht="14.25" hidden="1" customHeight="1" x14ac:dyDescent="0.35"/>
    <row r="1003" ht="14.25" hidden="1" customHeight="1" x14ac:dyDescent="0.35"/>
    <row r="1004" ht="14.25" hidden="1" customHeight="1" x14ac:dyDescent="0.35"/>
    <row r="1005" ht="14.25" hidden="1" customHeight="1" x14ac:dyDescent="0.35"/>
    <row r="1006" ht="14.25" hidden="1" customHeight="1" x14ac:dyDescent="0.35"/>
    <row r="1007" ht="14.25" hidden="1" customHeight="1" x14ac:dyDescent="0.35"/>
    <row r="1008" ht="14.25" hidden="1" customHeight="1" x14ac:dyDescent="0.35"/>
    <row r="1009" ht="14.25" hidden="1" customHeight="1" x14ac:dyDescent="0.35"/>
    <row r="1010" ht="14.25" hidden="1" customHeight="1" x14ac:dyDescent="0.35"/>
    <row r="1011" ht="14.25" hidden="1" customHeight="1" x14ac:dyDescent="0.35"/>
    <row r="1012" ht="14.25" hidden="1" customHeight="1" x14ac:dyDescent="0.35"/>
    <row r="1013" ht="14.25" hidden="1" customHeight="1" x14ac:dyDescent="0.35"/>
    <row r="1014" ht="14.25" hidden="1" customHeight="1" x14ac:dyDescent="0.35"/>
    <row r="1015" ht="14.25" hidden="1" customHeight="1" x14ac:dyDescent="0.35"/>
  </sheetData>
  <sheetProtection algorithmName="SHA-512" hashValue="Ln9ZKhlw+WvoxDsNOkMOJrdYlZgdtYdylzQp51PX+Yr14VKGTK4nhvEvc4semrNFBOY7VM663pK5BZ5ZGB7zGQ==" saltValue="ALw/Oe+qY059T5SEV5ZZzA==" spinCount="100000" sheet="1" objects="1" scenarios="1"/>
  <mergeCells count="41">
    <mergeCell ref="E75:G75"/>
    <mergeCell ref="C8:D8"/>
    <mergeCell ref="E79:G79"/>
    <mergeCell ref="E68:G68"/>
    <mergeCell ref="H9:Z9"/>
    <mergeCell ref="B26:G26"/>
    <mergeCell ref="H26:X26"/>
    <mergeCell ref="B50:G50"/>
    <mergeCell ref="H50:X50"/>
    <mergeCell ref="B66:G66"/>
    <mergeCell ref="B67:C80"/>
    <mergeCell ref="E67:G67"/>
    <mergeCell ref="B9:G9"/>
    <mergeCell ref="E78:G78"/>
    <mergeCell ref="E80:G80"/>
    <mergeCell ref="E72:G72"/>
    <mergeCell ref="E73:G73"/>
    <mergeCell ref="E74:G74"/>
    <mergeCell ref="B54:G54"/>
    <mergeCell ref="R1:Z1"/>
    <mergeCell ref="N2:T2"/>
    <mergeCell ref="V2:Y2"/>
    <mergeCell ref="J3:M3"/>
    <mergeCell ref="N3:T3"/>
    <mergeCell ref="V3:Y3"/>
    <mergeCell ref="H81:L81"/>
    <mergeCell ref="V4:Y4"/>
    <mergeCell ref="J5:M5"/>
    <mergeCell ref="V5:Y5"/>
    <mergeCell ref="R6:Z6"/>
    <mergeCell ref="Y66:Z80"/>
    <mergeCell ref="H78:L78"/>
    <mergeCell ref="O78:S78"/>
    <mergeCell ref="T78:X78"/>
    <mergeCell ref="H80:L80"/>
    <mergeCell ref="H79:L79"/>
    <mergeCell ref="R7:T7"/>
    <mergeCell ref="U7:X7"/>
    <mergeCell ref="Y7:Z7"/>
    <mergeCell ref="H69:X69"/>
    <mergeCell ref="H54:Z54"/>
  </mergeCells>
  <dataValidations count="1">
    <dataValidation type="list" allowBlank="1" showErrorMessage="1" sqref="N5" xr:uid="{00000000-0002-0000-0100-000000000000}">
      <formula1>"NoScrews,WithScrews"</formula1>
    </dataValidation>
  </dataValidations>
  <pageMargins left="0.70866141732283472" right="0.70866141732283472" top="0.78740157480314965" bottom="0.78740157480314965" header="0" footer="0"/>
  <pageSetup paperSize="9" orientation="landscape"/>
  <ignoredErrors>
    <ignoredError sqref="Y2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D1DB-083F-49D6-857B-DA54A9AAFCB8}">
  <sheetPr>
    <pageSetUpPr fitToPage="1"/>
  </sheetPr>
  <dimension ref="A1:AB991"/>
  <sheetViews>
    <sheetView showGridLines="0" zoomScale="68" zoomScaleNormal="68" workbookViewId="0">
      <pane ySplit="8" topLeftCell="A9" activePane="bottomLeft" state="frozen"/>
      <selection pane="bottomLeft" activeCell="L13" sqref="L13"/>
    </sheetView>
  </sheetViews>
  <sheetFormatPr baseColWidth="10" defaultColWidth="0" defaultRowHeight="15" customHeight="1" zeroHeight="1" x14ac:dyDescent="0.35"/>
  <cols>
    <col min="1" max="1" width="2.81640625" customWidth="1"/>
    <col min="2" max="2" width="12.36328125" bestFit="1" customWidth="1"/>
    <col min="3" max="3" width="35.81640625" customWidth="1"/>
    <col min="4" max="4" width="4.81640625" customWidth="1"/>
    <col min="5" max="6" width="10.6328125" customWidth="1"/>
    <col min="7" max="7" width="13.36328125" customWidth="1"/>
    <col min="8" max="24" width="5.6328125" customWidth="1"/>
    <col min="25" max="25" width="14.6328125" customWidth="1"/>
    <col min="26" max="26" width="18.453125" customWidth="1"/>
    <col min="27" max="27" width="10.6328125" hidden="1" customWidth="1"/>
    <col min="28" max="28" width="1.6328125" customWidth="1"/>
    <col min="29" max="16384" width="14.453125" hidden="1"/>
  </cols>
  <sheetData>
    <row r="1" spans="2:26" ht="12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970"/>
      <c r="S1" s="971"/>
      <c r="T1" s="971"/>
      <c r="U1" s="971"/>
      <c r="V1" s="971"/>
      <c r="W1" s="971"/>
      <c r="X1" s="971"/>
      <c r="Y1" s="971"/>
      <c r="Z1" s="971"/>
    </row>
    <row r="2" spans="2:26" ht="21.75" customHeight="1" x14ac:dyDescent="0.55000000000000004">
      <c r="B2" s="1"/>
      <c r="C2" s="1"/>
      <c r="D2" s="1"/>
      <c r="E2" s="1"/>
      <c r="F2" s="1"/>
      <c r="G2" s="1"/>
      <c r="H2" s="1"/>
      <c r="I2" s="1"/>
      <c r="J2" s="6"/>
      <c r="K2" s="2"/>
      <c r="L2" s="2"/>
      <c r="M2" s="2"/>
      <c r="N2" s="997"/>
      <c r="O2" s="976"/>
      <c r="P2" s="976"/>
      <c r="Q2" s="976"/>
      <c r="R2" s="976"/>
      <c r="S2" s="976"/>
      <c r="T2" s="977"/>
      <c r="U2" s="3"/>
      <c r="V2" s="964" t="s">
        <v>18</v>
      </c>
      <c r="W2" s="965"/>
      <c r="X2" s="965"/>
      <c r="Y2" s="966"/>
      <c r="Z2" s="401">
        <f>H43+I43+J43+K43+L43+M43+N43</f>
        <v>0</v>
      </c>
    </row>
    <row r="3" spans="2:26" ht="21.75" customHeight="1" x14ac:dyDescent="0.55000000000000004">
      <c r="B3" s="1"/>
      <c r="C3" s="1"/>
      <c r="D3" s="1"/>
      <c r="E3" s="1"/>
      <c r="F3" s="1"/>
      <c r="G3" s="1"/>
      <c r="H3" s="1"/>
      <c r="I3" s="1"/>
      <c r="J3" s="972" t="s">
        <v>0</v>
      </c>
      <c r="K3" s="998"/>
      <c r="L3" s="998"/>
      <c r="M3" s="999"/>
      <c r="N3" s="1000">
        <f ca="1">TODAY()</f>
        <v>46282</v>
      </c>
      <c r="O3" s="998"/>
      <c r="P3" s="998"/>
      <c r="Q3" s="998"/>
      <c r="R3" s="998"/>
      <c r="S3" s="998"/>
      <c r="T3" s="999"/>
      <c r="U3" s="3"/>
      <c r="V3" s="964" t="s">
        <v>19</v>
      </c>
      <c r="W3" s="965"/>
      <c r="X3" s="965"/>
      <c r="Y3" s="966"/>
      <c r="Z3" s="401">
        <f>H44+I44+J44+K44+L44+M44+N44</f>
        <v>0</v>
      </c>
    </row>
    <row r="4" spans="2:26" ht="21.75" customHeight="1" x14ac:dyDescent="0.55000000000000004"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5"/>
      <c r="O4" s="2"/>
      <c r="P4" s="2"/>
      <c r="Q4" s="2"/>
      <c r="R4" s="2"/>
      <c r="S4" s="2"/>
      <c r="T4" s="2"/>
      <c r="U4" s="3"/>
      <c r="V4" s="964" t="s">
        <v>20</v>
      </c>
      <c r="W4" s="965"/>
      <c r="X4" s="965"/>
      <c r="Y4" s="966"/>
      <c r="Z4" s="912">
        <f>(Y10/8*0.25)+(Y11/8*0.25)+(Y12/8*0.5)+(Y13/6*0.8)+(Y14/4*0.4)+(Y15/5*0.45)+(Y16/41*2.65)+(Y17/24*0.35)+(Y18/10*0.3)+(Y19/18*1.3)+(Y20/7*2.15)+(Y21/7*1.9)+(Y22/66*6)+(Y23/107*8.65)+(Y26/6*3)+(Y27/6*3.5)+(Y28/4*4)+(Y29/2*3.3)+(Y30/8*1)+(Y31/10*2.4)+(Y32/8*2.9)+(Y33/5*2.7)+(Y34/6*2)+(Y35/3*1.9)+(Y36/3*1.8)+(Y37/2*2.4)+(Y38/2*2.05)+(Y39/4*3.7)+(Y40/69*36.65)</f>
        <v>0</v>
      </c>
    </row>
    <row r="5" spans="2:26" ht="21.75" customHeight="1" x14ac:dyDescent="0.55000000000000004">
      <c r="B5" s="1"/>
      <c r="C5" s="1"/>
      <c r="D5" s="1"/>
      <c r="E5" s="1"/>
      <c r="F5" s="1"/>
      <c r="G5" s="1"/>
      <c r="H5" s="1"/>
      <c r="I5" s="1"/>
      <c r="J5" s="967"/>
      <c r="K5" s="968"/>
      <c r="L5" s="968"/>
      <c r="M5" s="968"/>
      <c r="N5" s="56"/>
      <c r="O5" s="55"/>
      <c r="P5" s="55"/>
      <c r="Q5" s="55"/>
      <c r="R5" s="55"/>
      <c r="S5" s="55"/>
      <c r="T5" s="55"/>
      <c r="U5" s="3"/>
      <c r="V5" s="964" t="s">
        <v>89</v>
      </c>
      <c r="W5" s="965"/>
      <c r="X5" s="965"/>
      <c r="Y5" s="966"/>
      <c r="Z5" s="402">
        <f>H56</f>
        <v>0</v>
      </c>
    </row>
    <row r="6" spans="2:26" ht="14.25" customHeight="1" thickBot="1" x14ac:dyDescent="0.4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962" t="s">
        <v>17</v>
      </c>
      <c r="S6" s="969"/>
      <c r="T6" s="969"/>
      <c r="U6" s="969"/>
      <c r="V6" s="969"/>
      <c r="W6" s="969"/>
      <c r="X6" s="969"/>
      <c r="Y6" s="969"/>
      <c r="Z6" s="969"/>
    </row>
    <row r="7" spans="2:26" ht="14.25" customHeight="1" x14ac:dyDescent="0.35">
      <c r="B7" s="7"/>
      <c r="C7" s="7"/>
      <c r="D7" s="54"/>
      <c r="E7" s="7"/>
      <c r="F7" s="7"/>
      <c r="G7" s="7"/>
      <c r="H7" s="7"/>
      <c r="I7" s="7"/>
      <c r="J7" s="7"/>
      <c r="K7" s="7"/>
      <c r="L7" s="7"/>
      <c r="M7" s="7"/>
      <c r="N7" s="7"/>
      <c r="O7" s="1024" t="s">
        <v>128</v>
      </c>
      <c r="P7" s="1025"/>
      <c r="Q7" s="1025"/>
      <c r="R7" s="1025"/>
      <c r="S7" s="1025"/>
      <c r="T7" s="1025"/>
      <c r="U7" s="1025"/>
      <c r="V7" s="1025"/>
      <c r="W7" s="1025"/>
      <c r="X7" s="1026"/>
      <c r="Y7" s="1018"/>
      <c r="Z7" s="971"/>
    </row>
    <row r="8" spans="2:26" ht="69.75" customHeight="1" thickBot="1" x14ac:dyDescent="0.4">
      <c r="B8" s="92" t="s">
        <v>22</v>
      </c>
      <c r="C8" s="1001" t="s">
        <v>23</v>
      </c>
      <c r="D8" s="1002"/>
      <c r="E8" s="9" t="s">
        <v>24</v>
      </c>
      <c r="F8" s="10" t="s">
        <v>25</v>
      </c>
      <c r="G8" s="9" t="s">
        <v>13</v>
      </c>
      <c r="H8" s="11" t="s">
        <v>26</v>
      </c>
      <c r="I8" s="60" t="s">
        <v>27</v>
      </c>
      <c r="J8" s="12" t="s">
        <v>28</v>
      </c>
      <c r="K8" s="13" t="s">
        <v>29</v>
      </c>
      <c r="L8" s="14" t="s">
        <v>30</v>
      </c>
      <c r="M8" s="15" t="s">
        <v>31</v>
      </c>
      <c r="N8" s="175" t="s">
        <v>36</v>
      </c>
      <c r="O8" s="176" t="s">
        <v>33</v>
      </c>
      <c r="P8" s="177" t="s">
        <v>35</v>
      </c>
      <c r="Q8" s="178" t="s">
        <v>34</v>
      </c>
      <c r="R8" s="179" t="s">
        <v>36</v>
      </c>
      <c r="S8" s="180" t="s">
        <v>37</v>
      </c>
      <c r="T8" s="181" t="s">
        <v>38</v>
      </c>
      <c r="U8" s="182" t="s">
        <v>39</v>
      </c>
      <c r="V8" s="183" t="s">
        <v>40</v>
      </c>
      <c r="W8" s="184" t="s">
        <v>41</v>
      </c>
      <c r="X8" s="185" t="s">
        <v>42</v>
      </c>
      <c r="Y8" s="10" t="s">
        <v>43</v>
      </c>
      <c r="Z8" s="26" t="s">
        <v>44</v>
      </c>
    </row>
    <row r="9" spans="2:26" ht="42.75" customHeight="1" thickBot="1" x14ac:dyDescent="0.4">
      <c r="B9" s="1027" t="s">
        <v>127</v>
      </c>
      <c r="C9" s="1015"/>
      <c r="D9" s="1016"/>
      <c r="E9" s="1015"/>
      <c r="F9" s="1015"/>
      <c r="G9" s="1016"/>
      <c r="H9" s="1006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</row>
    <row r="10" spans="2:26" ht="18" customHeight="1" thickTop="1" thickBot="1" x14ac:dyDescent="0.4">
      <c r="B10" s="276">
        <v>1301</v>
      </c>
      <c r="C10" s="277" t="s">
        <v>113</v>
      </c>
      <c r="D10" s="463"/>
      <c r="E10" s="279" t="s">
        <v>124</v>
      </c>
      <c r="F10" s="279">
        <v>8</v>
      </c>
      <c r="G10" s="280">
        <v>40</v>
      </c>
      <c r="H10" s="281"/>
      <c r="I10" s="282"/>
      <c r="J10" s="283"/>
      <c r="K10" s="284"/>
      <c r="L10" s="285"/>
      <c r="M10" s="286"/>
      <c r="N10" s="464"/>
      <c r="O10" s="465"/>
      <c r="P10" s="466"/>
      <c r="Q10" s="467"/>
      <c r="R10" s="468"/>
      <c r="S10" s="469"/>
      <c r="T10" s="470"/>
      <c r="U10" s="471"/>
      <c r="V10" s="472"/>
      <c r="W10" s="473"/>
      <c r="X10" s="474"/>
      <c r="Y10" s="298">
        <f>(H10+I10+J10+K10+M10+L10+N10+O10+P10+Q10+R10+S10+T10+U10+V10+W10+X10)*8</f>
        <v>0</v>
      </c>
      <c r="Z10" s="299">
        <f>(H10+I10+J10+K10+L10+M10+N10+O10+P10+Q10+R10+S10+T10)*G10+(U10+V10+W10+X10)*(G10*1.05)</f>
        <v>0</v>
      </c>
    </row>
    <row r="11" spans="2:26" ht="18" customHeight="1" thickTop="1" thickBot="1" x14ac:dyDescent="0.4">
      <c r="B11" s="300">
        <v>1302</v>
      </c>
      <c r="C11" s="475" t="s">
        <v>114</v>
      </c>
      <c r="D11" s="476"/>
      <c r="E11" s="303" t="s">
        <v>124</v>
      </c>
      <c r="F11" s="303">
        <v>8</v>
      </c>
      <c r="G11" s="304">
        <v>40</v>
      </c>
      <c r="H11" s="305"/>
      <c r="I11" s="306"/>
      <c r="J11" s="307"/>
      <c r="K11" s="308"/>
      <c r="L11" s="309"/>
      <c r="M11" s="310"/>
      <c r="N11" s="477"/>
      <c r="O11" s="478"/>
      <c r="P11" s="479"/>
      <c r="Q11" s="480"/>
      <c r="R11" s="481"/>
      <c r="S11" s="482"/>
      <c r="T11" s="483"/>
      <c r="U11" s="484"/>
      <c r="V11" s="485"/>
      <c r="W11" s="486"/>
      <c r="X11" s="487"/>
      <c r="Y11" s="298">
        <f>(H11+I11+J11+K11+M11+L11+N11+O11+P11+Q11+R11+S11+T11+U11+V11+W11+X11)*8</f>
        <v>0</v>
      </c>
      <c r="Z11" s="299">
        <f t="shared" ref="Z11:Z23" si="0">(H11+I11+J11+K11+L11+M11+N11+O11+P11+Q11+R11+S11+T11)*G11+(U11+V11+W11+X11)*(G11*1.05)</f>
        <v>0</v>
      </c>
    </row>
    <row r="12" spans="2:26" ht="18" customHeight="1" thickTop="1" thickBot="1" x14ac:dyDescent="0.4">
      <c r="B12" s="322">
        <v>1303</v>
      </c>
      <c r="C12" s="323" t="s">
        <v>115</v>
      </c>
      <c r="D12" s="488"/>
      <c r="E12" s="325" t="s">
        <v>47</v>
      </c>
      <c r="F12" s="325">
        <v>8</v>
      </c>
      <c r="G12" s="326">
        <v>60</v>
      </c>
      <c r="H12" s="327"/>
      <c r="I12" s="328"/>
      <c r="J12" s="329"/>
      <c r="K12" s="330"/>
      <c r="L12" s="331"/>
      <c r="M12" s="332"/>
      <c r="N12" s="489"/>
      <c r="O12" s="490"/>
      <c r="P12" s="491"/>
      <c r="Q12" s="492"/>
      <c r="R12" s="493"/>
      <c r="S12" s="494"/>
      <c r="T12" s="495"/>
      <c r="U12" s="496"/>
      <c r="V12" s="497"/>
      <c r="W12" s="498"/>
      <c r="X12" s="499"/>
      <c r="Y12" s="344">
        <f>(H12+I12+J12+K12+M12+L12+N12+O12+P12+Q12+R12+S12+T12+U12+V12+W12+X12)*8</f>
        <v>0</v>
      </c>
      <c r="Z12" s="299">
        <f t="shared" si="0"/>
        <v>0</v>
      </c>
    </row>
    <row r="13" spans="2:26" ht="18" customHeight="1" thickTop="1" thickBot="1" x14ac:dyDescent="0.4">
      <c r="B13" s="300">
        <v>1304</v>
      </c>
      <c r="C13" s="500" t="s">
        <v>116</v>
      </c>
      <c r="D13" s="501"/>
      <c r="E13" s="303" t="s">
        <v>47</v>
      </c>
      <c r="F13" s="303">
        <v>8</v>
      </c>
      <c r="G13" s="346">
        <v>90</v>
      </c>
      <c r="H13" s="305"/>
      <c r="I13" s="306"/>
      <c r="J13" s="307"/>
      <c r="K13" s="308"/>
      <c r="L13" s="309"/>
      <c r="M13" s="310"/>
      <c r="N13" s="477"/>
      <c r="O13" s="478"/>
      <c r="P13" s="479"/>
      <c r="Q13" s="480"/>
      <c r="R13" s="481"/>
      <c r="S13" s="482"/>
      <c r="T13" s="483"/>
      <c r="U13" s="484"/>
      <c r="V13" s="485"/>
      <c r="W13" s="486"/>
      <c r="X13" s="487"/>
      <c r="Y13" s="347">
        <f>(H13+I13+J13+K13+M13+L13+N13+O13+P13+Q13+R13+S13+T13+U13+V13+W13+X13)*8</f>
        <v>0</v>
      </c>
      <c r="Z13" s="299">
        <f t="shared" si="0"/>
        <v>0</v>
      </c>
    </row>
    <row r="14" spans="2:26" ht="18" customHeight="1" thickTop="1" thickBot="1" x14ac:dyDescent="0.4">
      <c r="B14" s="300">
        <v>1305</v>
      </c>
      <c r="C14" s="301" t="s">
        <v>117</v>
      </c>
      <c r="D14" s="501"/>
      <c r="E14" s="303" t="s">
        <v>47</v>
      </c>
      <c r="F14" s="303">
        <v>4</v>
      </c>
      <c r="G14" s="346">
        <v>40</v>
      </c>
      <c r="H14" s="305"/>
      <c r="I14" s="306"/>
      <c r="J14" s="307"/>
      <c r="K14" s="308"/>
      <c r="L14" s="309"/>
      <c r="M14" s="310"/>
      <c r="N14" s="477"/>
      <c r="O14" s="478"/>
      <c r="P14" s="479"/>
      <c r="Q14" s="480"/>
      <c r="R14" s="481"/>
      <c r="S14" s="482"/>
      <c r="T14" s="483"/>
      <c r="U14" s="484"/>
      <c r="V14" s="485"/>
      <c r="W14" s="486"/>
      <c r="X14" s="487"/>
      <c r="Y14" s="347">
        <f>(H14+I14+J14+K14+M14+L14+N14+O14+P14+Q14+R14+S14+T14+U14+V14+W14+X14)*4</f>
        <v>0</v>
      </c>
      <c r="Z14" s="299">
        <f t="shared" si="0"/>
        <v>0</v>
      </c>
    </row>
    <row r="15" spans="2:26" ht="18" customHeight="1" thickTop="1" thickBot="1" x14ac:dyDescent="0.4">
      <c r="B15" s="322">
        <v>1306</v>
      </c>
      <c r="C15" s="323" t="s">
        <v>118</v>
      </c>
      <c r="D15" s="488"/>
      <c r="E15" s="325" t="s">
        <v>47</v>
      </c>
      <c r="F15" s="325">
        <v>5</v>
      </c>
      <c r="G15" s="326">
        <v>50</v>
      </c>
      <c r="H15" s="327"/>
      <c r="I15" s="328"/>
      <c r="J15" s="329"/>
      <c r="K15" s="330"/>
      <c r="L15" s="331"/>
      <c r="M15" s="332"/>
      <c r="N15" s="489"/>
      <c r="O15" s="490"/>
      <c r="P15" s="491"/>
      <c r="Q15" s="492"/>
      <c r="R15" s="493"/>
      <c r="S15" s="494"/>
      <c r="T15" s="495"/>
      <c r="U15" s="496"/>
      <c r="V15" s="497"/>
      <c r="W15" s="498"/>
      <c r="X15" s="499"/>
      <c r="Y15" s="347">
        <f>(H15+I15+J15+K15+M15+L15+N15+O15+P15+Q15+R15+S15+T15+U15+V15+W15+X15)*5</f>
        <v>0</v>
      </c>
      <c r="Z15" s="299">
        <f t="shared" si="0"/>
        <v>0</v>
      </c>
    </row>
    <row r="16" spans="2:26" ht="18" customHeight="1" thickTop="1" thickBot="1" x14ac:dyDescent="0.4">
      <c r="B16" s="300">
        <v>1307</v>
      </c>
      <c r="C16" s="345" t="s">
        <v>182</v>
      </c>
      <c r="D16" s="501"/>
      <c r="E16" s="303" t="s">
        <v>124</v>
      </c>
      <c r="F16" s="303">
        <v>41</v>
      </c>
      <c r="G16" s="346">
        <v>310</v>
      </c>
      <c r="H16" s="348"/>
      <c r="I16" s="306"/>
      <c r="J16" s="307"/>
      <c r="K16" s="308"/>
      <c r="L16" s="309"/>
      <c r="M16" s="310"/>
      <c r="N16" s="477"/>
      <c r="O16" s="478"/>
      <c r="P16" s="479"/>
      <c r="Q16" s="480"/>
      <c r="R16" s="481"/>
      <c r="S16" s="482"/>
      <c r="T16" s="483"/>
      <c r="U16" s="484"/>
      <c r="V16" s="485"/>
      <c r="W16" s="486"/>
      <c r="X16" s="502"/>
      <c r="Y16" s="347">
        <f>(H16+I16+J16+K16+M16+L16+N16+O16+P16+Q16+R16+S16+T16+U16+V16+W16+X16)*41</f>
        <v>0</v>
      </c>
      <c r="Z16" s="299">
        <f t="shared" si="0"/>
        <v>0</v>
      </c>
    </row>
    <row r="17" spans="2:26" ht="18" customHeight="1" thickTop="1" thickBot="1" x14ac:dyDescent="0.4">
      <c r="B17" s="349">
        <v>1308</v>
      </c>
      <c r="C17" s="301" t="s">
        <v>119</v>
      </c>
      <c r="D17" s="503"/>
      <c r="E17" s="351" t="s">
        <v>125</v>
      </c>
      <c r="F17" s="351">
        <v>24</v>
      </c>
      <c r="G17" s="352">
        <v>90</v>
      </c>
      <c r="H17" s="353"/>
      <c r="I17" s="354"/>
      <c r="J17" s="355"/>
      <c r="K17" s="356"/>
      <c r="L17" s="357"/>
      <c r="M17" s="358"/>
      <c r="N17" s="504"/>
      <c r="O17" s="505"/>
      <c r="P17" s="506"/>
      <c r="Q17" s="507"/>
      <c r="R17" s="508"/>
      <c r="S17" s="509"/>
      <c r="T17" s="510"/>
      <c r="U17" s="511"/>
      <c r="V17" s="512"/>
      <c r="W17" s="513"/>
      <c r="X17" s="514"/>
      <c r="Y17" s="347">
        <f>(H17+I17+J17+K17+M17+L17+N17+O17+P17+Q17+R17+S17+T17+U17+V17+W17+X17)*24</f>
        <v>0</v>
      </c>
      <c r="Z17" s="299">
        <f t="shared" si="0"/>
        <v>0</v>
      </c>
    </row>
    <row r="18" spans="2:26" ht="18" customHeight="1" thickTop="1" thickBot="1" x14ac:dyDescent="0.4">
      <c r="B18" s="322">
        <v>1309</v>
      </c>
      <c r="C18" s="323" t="s">
        <v>120</v>
      </c>
      <c r="D18" s="488"/>
      <c r="E18" s="325" t="s">
        <v>124</v>
      </c>
      <c r="F18" s="325">
        <v>10</v>
      </c>
      <c r="G18" s="326">
        <v>50</v>
      </c>
      <c r="H18" s="369"/>
      <c r="I18" s="328"/>
      <c r="J18" s="329"/>
      <c r="K18" s="330"/>
      <c r="L18" s="331"/>
      <c r="M18" s="332"/>
      <c r="N18" s="489"/>
      <c r="O18" s="490"/>
      <c r="P18" s="491"/>
      <c r="Q18" s="492"/>
      <c r="R18" s="493"/>
      <c r="S18" s="494"/>
      <c r="T18" s="495"/>
      <c r="U18" s="496"/>
      <c r="V18" s="497"/>
      <c r="W18" s="498"/>
      <c r="X18" s="499"/>
      <c r="Y18" s="347">
        <f>(H18+I18+J18+K18+M18+L18+N18+O18+P18+Q18+R18+S18+T18+U18+V18+W18+X18)*10</f>
        <v>0</v>
      </c>
      <c r="Z18" s="299">
        <f t="shared" si="0"/>
        <v>0</v>
      </c>
    </row>
    <row r="19" spans="2:26" ht="18" customHeight="1" thickTop="1" thickBot="1" x14ac:dyDescent="0.4">
      <c r="B19" s="370">
        <v>1310</v>
      </c>
      <c r="C19" s="345" t="s">
        <v>121</v>
      </c>
      <c r="D19" s="501"/>
      <c r="E19" s="303" t="s">
        <v>46</v>
      </c>
      <c r="F19" s="303">
        <v>18</v>
      </c>
      <c r="G19" s="346">
        <v>150</v>
      </c>
      <c r="H19" s="305"/>
      <c r="I19" s="306"/>
      <c r="J19" s="307"/>
      <c r="K19" s="308"/>
      <c r="L19" s="309"/>
      <c r="M19" s="310"/>
      <c r="N19" s="477"/>
      <c r="O19" s="478"/>
      <c r="P19" s="479"/>
      <c r="Q19" s="480"/>
      <c r="R19" s="481"/>
      <c r="S19" s="482"/>
      <c r="T19" s="515"/>
      <c r="U19" s="516"/>
      <c r="V19" s="485"/>
      <c r="W19" s="486"/>
      <c r="X19" s="517"/>
      <c r="Y19" s="374">
        <f>(H19+I19+J19+K19+M19+L19+N19+O19+P19+Q19+R19+S19+T19+U19+V19+W19+X19)*18</f>
        <v>0</v>
      </c>
      <c r="Z19" s="299">
        <f t="shared" si="0"/>
        <v>0</v>
      </c>
    </row>
    <row r="20" spans="2:26" ht="18" customHeight="1" thickTop="1" thickBot="1" x14ac:dyDescent="0.4">
      <c r="B20" s="349">
        <v>1311</v>
      </c>
      <c r="C20" s="301" t="s">
        <v>122</v>
      </c>
      <c r="D20" s="503"/>
      <c r="E20" s="351" t="s">
        <v>57</v>
      </c>
      <c r="F20" s="351">
        <v>7</v>
      </c>
      <c r="G20" s="352">
        <v>220</v>
      </c>
      <c r="H20" s="375"/>
      <c r="I20" s="354"/>
      <c r="J20" s="355"/>
      <c r="K20" s="356"/>
      <c r="L20" s="357"/>
      <c r="M20" s="358"/>
      <c r="N20" s="504"/>
      <c r="O20" s="505"/>
      <c r="P20" s="506"/>
      <c r="Q20" s="507"/>
      <c r="R20" s="508"/>
      <c r="S20" s="509"/>
      <c r="T20" s="510"/>
      <c r="U20" s="511"/>
      <c r="V20" s="512"/>
      <c r="W20" s="513"/>
      <c r="X20" s="518"/>
      <c r="Y20" s="374">
        <f>(H20+I20+J20+K20+M20+L20+N20+O20+P20+Q20+R20+S20+T20+U20+V20+W20+X20)*7</f>
        <v>0</v>
      </c>
      <c r="Z20" s="299">
        <f t="shared" si="0"/>
        <v>0</v>
      </c>
    </row>
    <row r="21" spans="2:26" ht="18" customHeight="1" thickTop="1" thickBot="1" x14ac:dyDescent="0.4">
      <c r="B21" s="322">
        <v>1312</v>
      </c>
      <c r="C21" s="323" t="s">
        <v>123</v>
      </c>
      <c r="D21" s="488"/>
      <c r="E21" s="325" t="s">
        <v>57</v>
      </c>
      <c r="F21" s="325">
        <v>7</v>
      </c>
      <c r="G21" s="326">
        <v>200</v>
      </c>
      <c r="H21" s="327"/>
      <c r="I21" s="328"/>
      <c r="J21" s="329"/>
      <c r="K21" s="330"/>
      <c r="L21" s="331"/>
      <c r="M21" s="332"/>
      <c r="N21" s="489"/>
      <c r="O21" s="490"/>
      <c r="P21" s="491"/>
      <c r="Q21" s="492"/>
      <c r="R21" s="493"/>
      <c r="S21" s="494"/>
      <c r="T21" s="495"/>
      <c r="U21" s="496"/>
      <c r="V21" s="497"/>
      <c r="W21" s="498"/>
      <c r="X21" s="499"/>
      <c r="Y21" s="374">
        <f>(H21+I21+J21+K21+M21+L21+N21+O21+P21+Q21+R21+S21+T21+U21+V21+W21+X21)*7</f>
        <v>0</v>
      </c>
      <c r="Z21" s="299">
        <f t="shared" si="0"/>
        <v>0</v>
      </c>
    </row>
    <row r="22" spans="2:26" ht="18" customHeight="1" thickTop="1" thickBot="1" x14ac:dyDescent="0.4">
      <c r="B22" s="300">
        <v>1313</v>
      </c>
      <c r="C22" s="345" t="s">
        <v>183</v>
      </c>
      <c r="D22" s="501"/>
      <c r="E22" s="303" t="s">
        <v>126</v>
      </c>
      <c r="F22" s="303">
        <v>66</v>
      </c>
      <c r="G22" s="346">
        <v>710</v>
      </c>
      <c r="H22" s="305"/>
      <c r="I22" s="306"/>
      <c r="J22" s="307"/>
      <c r="K22" s="308"/>
      <c r="L22" s="309"/>
      <c r="M22" s="310"/>
      <c r="N22" s="477"/>
      <c r="O22" s="478"/>
      <c r="P22" s="479"/>
      <c r="Q22" s="480"/>
      <c r="R22" s="481"/>
      <c r="S22" s="482"/>
      <c r="T22" s="515"/>
      <c r="U22" s="484"/>
      <c r="V22" s="485"/>
      <c r="W22" s="486"/>
      <c r="X22" s="487"/>
      <c r="Y22" s="374">
        <f>(H22+I22+J22+K22+M22+L22+N22+O22+P22+Q22+R22+S22+T22+U22+V22+W22+X22)*66</f>
        <v>0</v>
      </c>
      <c r="Z22" s="299">
        <f t="shared" si="0"/>
        <v>0</v>
      </c>
    </row>
    <row r="23" spans="2:26" ht="18" customHeight="1" thickTop="1" thickBot="1" x14ac:dyDescent="0.4">
      <c r="B23" s="349">
        <v>1314</v>
      </c>
      <c r="C23" s="301" t="s">
        <v>184</v>
      </c>
      <c r="D23" s="503"/>
      <c r="E23" s="351" t="s">
        <v>126</v>
      </c>
      <c r="F23" s="351">
        <v>107</v>
      </c>
      <c r="G23" s="352">
        <v>1000</v>
      </c>
      <c r="H23" s="375"/>
      <c r="I23" s="354"/>
      <c r="J23" s="355"/>
      <c r="K23" s="356"/>
      <c r="L23" s="357"/>
      <c r="M23" s="358"/>
      <c r="N23" s="504"/>
      <c r="O23" s="505"/>
      <c r="P23" s="506"/>
      <c r="Q23" s="507"/>
      <c r="R23" s="508"/>
      <c r="S23" s="509"/>
      <c r="T23" s="510"/>
      <c r="U23" s="511"/>
      <c r="V23" s="512"/>
      <c r="W23" s="513"/>
      <c r="X23" s="518"/>
      <c r="Y23" s="374">
        <f>(H23+I23+J23+K23+M23+L23+N23+O23+P23+Q23+R23+S23+T23+U23+V23+W23+X23)*107</f>
        <v>0</v>
      </c>
      <c r="Z23" s="299">
        <f t="shared" si="0"/>
        <v>0</v>
      </c>
    </row>
    <row r="24" spans="2:26" ht="8" customHeight="1" thickTop="1" thickBot="1" x14ac:dyDescent="0.5">
      <c r="B24" s="111"/>
      <c r="C24" s="111"/>
      <c r="D24" s="112"/>
      <c r="E24" s="111"/>
      <c r="F24" s="111"/>
      <c r="G24" s="113"/>
      <c r="H24" s="114"/>
      <c r="I24" s="115"/>
      <c r="J24" s="116"/>
      <c r="K24" s="117"/>
      <c r="L24" s="118"/>
      <c r="M24" s="119"/>
      <c r="N24" s="120"/>
      <c r="O24" s="121"/>
      <c r="P24" s="122"/>
      <c r="Q24" s="123"/>
      <c r="R24" s="124"/>
      <c r="S24" s="125"/>
      <c r="T24" s="126"/>
      <c r="U24" s="127"/>
      <c r="V24" s="128"/>
      <c r="W24" s="129"/>
      <c r="X24" s="118"/>
      <c r="Y24" s="130"/>
      <c r="Z24" s="131"/>
    </row>
    <row r="25" spans="2:26" ht="42.75" customHeight="1" thickTop="1" thickBot="1" x14ac:dyDescent="0.5">
      <c r="B25" s="1012" t="s">
        <v>92</v>
      </c>
      <c r="C25" s="977"/>
      <c r="D25" s="977"/>
      <c r="E25" s="977"/>
      <c r="F25" s="977"/>
      <c r="G25" s="977"/>
      <c r="H25" s="1013"/>
      <c r="I25" s="977"/>
      <c r="J25" s="977"/>
      <c r="K25" s="977"/>
      <c r="L25" s="977"/>
      <c r="M25" s="977"/>
      <c r="N25" s="977"/>
      <c r="O25" s="977"/>
      <c r="P25" s="977"/>
      <c r="Q25" s="977"/>
      <c r="R25" s="977"/>
      <c r="S25" s="977"/>
      <c r="T25" s="977"/>
      <c r="U25" s="977"/>
      <c r="V25" s="977"/>
      <c r="W25" s="977"/>
      <c r="X25" s="977"/>
      <c r="Y25" s="132"/>
      <c r="Z25" s="133"/>
    </row>
    <row r="26" spans="2:26" s="4" customFormat="1" ht="18" customHeight="1" thickTop="1" thickBot="1" x14ac:dyDescent="0.4">
      <c r="B26" s="300">
        <v>1203</v>
      </c>
      <c r="C26" s="345" t="s">
        <v>141</v>
      </c>
      <c r="D26" s="501"/>
      <c r="E26" s="303" t="s">
        <v>48</v>
      </c>
      <c r="F26" s="303">
        <v>6</v>
      </c>
      <c r="G26" s="304">
        <v>240</v>
      </c>
      <c r="H26" s="305"/>
      <c r="I26" s="306"/>
      <c r="J26" s="307"/>
      <c r="K26" s="308"/>
      <c r="L26" s="309"/>
      <c r="M26" s="310"/>
      <c r="N26" s="477"/>
      <c r="O26" s="478"/>
      <c r="P26" s="479"/>
      <c r="Q26" s="480"/>
      <c r="R26" s="481"/>
      <c r="S26" s="482"/>
      <c r="T26" s="519"/>
      <c r="U26" s="484"/>
      <c r="V26" s="485"/>
      <c r="W26" s="486"/>
      <c r="X26" s="487"/>
      <c r="Y26" s="347">
        <f>(H26+I26+J26+K26+M26+L26+N26+O26+P26+Q26+R26+S26+T26+U26+V26+W26+X26)*6</f>
        <v>0</v>
      </c>
      <c r="Z26" s="299">
        <f t="shared" ref="Z26:Z40" si="1">(H26+I26+J26+K26+L26+M26+N26+O26+P26+Q26+R26+S26+T26)*G26+(U26+V26+W26+X26)*(G26*1.05)</f>
        <v>0</v>
      </c>
    </row>
    <row r="27" spans="2:26" s="4" customFormat="1" ht="18" customHeight="1" thickTop="1" thickBot="1" x14ac:dyDescent="0.4">
      <c r="B27" s="300">
        <v>1204</v>
      </c>
      <c r="C27" s="345" t="s">
        <v>142</v>
      </c>
      <c r="D27" s="503"/>
      <c r="E27" s="351" t="s">
        <v>49</v>
      </c>
      <c r="F27" s="351">
        <v>6</v>
      </c>
      <c r="G27" s="381">
        <v>300</v>
      </c>
      <c r="H27" s="375"/>
      <c r="I27" s="354"/>
      <c r="J27" s="355"/>
      <c r="K27" s="356"/>
      <c r="L27" s="357"/>
      <c r="M27" s="358"/>
      <c r="N27" s="504"/>
      <c r="O27" s="505"/>
      <c r="P27" s="506"/>
      <c r="Q27" s="507"/>
      <c r="R27" s="508"/>
      <c r="S27" s="509"/>
      <c r="T27" s="520"/>
      <c r="U27" s="511"/>
      <c r="V27" s="512"/>
      <c r="W27" s="513"/>
      <c r="X27" s="518"/>
      <c r="Y27" s="347">
        <f>(H27+I27+J27+K27+M27+L27+N27+O27+P27+Q27+R27+S27+T27+U27+V27+W27+X27)*6</f>
        <v>0</v>
      </c>
      <c r="Z27" s="299">
        <f t="shared" si="1"/>
        <v>0</v>
      </c>
    </row>
    <row r="28" spans="2:26" s="4" customFormat="1" ht="18" customHeight="1" thickTop="1" thickBot="1" x14ac:dyDescent="0.4">
      <c r="B28" s="521">
        <v>1205</v>
      </c>
      <c r="C28" s="522" t="s">
        <v>143</v>
      </c>
      <c r="D28" s="523"/>
      <c r="E28" s="325" t="s">
        <v>50</v>
      </c>
      <c r="F28" s="325">
        <v>4</v>
      </c>
      <c r="G28" s="326">
        <v>330</v>
      </c>
      <c r="H28" s="327"/>
      <c r="I28" s="328"/>
      <c r="J28" s="329"/>
      <c r="K28" s="330"/>
      <c r="L28" s="331"/>
      <c r="M28" s="332"/>
      <c r="N28" s="489"/>
      <c r="O28" s="490"/>
      <c r="P28" s="491"/>
      <c r="Q28" s="492"/>
      <c r="R28" s="493"/>
      <c r="S28" s="494"/>
      <c r="T28" s="524"/>
      <c r="U28" s="496"/>
      <c r="V28" s="497"/>
      <c r="W28" s="498"/>
      <c r="X28" s="499"/>
      <c r="Y28" s="347">
        <f>(H28+I28+J28+K28+M28+L28+N28+O28+P28+Q28+R28+S28+T28+U28+V28+W28+X28)*4</f>
        <v>0</v>
      </c>
      <c r="Z28" s="299">
        <f t="shared" si="1"/>
        <v>0</v>
      </c>
    </row>
    <row r="29" spans="2:26" s="4" customFormat="1" ht="18" customHeight="1" thickTop="1" thickBot="1" x14ac:dyDescent="0.4">
      <c r="B29" s="457">
        <v>1206</v>
      </c>
      <c r="C29" s="345" t="s">
        <v>185</v>
      </c>
      <c r="D29" s="501"/>
      <c r="E29" s="303" t="s">
        <v>50</v>
      </c>
      <c r="F29" s="303">
        <v>2</v>
      </c>
      <c r="G29" s="304">
        <v>270</v>
      </c>
      <c r="H29" s="305"/>
      <c r="I29" s="306"/>
      <c r="J29" s="307"/>
      <c r="K29" s="308"/>
      <c r="L29" s="309"/>
      <c r="M29" s="310"/>
      <c r="N29" s="477"/>
      <c r="O29" s="478"/>
      <c r="P29" s="479"/>
      <c r="Q29" s="480"/>
      <c r="R29" s="481"/>
      <c r="S29" s="482"/>
      <c r="T29" s="519"/>
      <c r="U29" s="484"/>
      <c r="V29" s="485"/>
      <c r="W29" s="486"/>
      <c r="X29" s="487"/>
      <c r="Y29" s="347">
        <f>(H29+I29+J29+K29+M29+L29+N29+O29+P29+Q29+R29+S29+T29+U29+V29+W29+X29)*2</f>
        <v>0</v>
      </c>
      <c r="Z29" s="299">
        <f t="shared" si="1"/>
        <v>0</v>
      </c>
    </row>
    <row r="30" spans="2:26" s="4" customFormat="1" ht="18" customHeight="1" thickTop="1" thickBot="1" x14ac:dyDescent="0.4">
      <c r="B30" s="300">
        <v>1207</v>
      </c>
      <c r="C30" s="301" t="s">
        <v>158</v>
      </c>
      <c r="D30" s="503"/>
      <c r="E30" s="351" t="s">
        <v>47</v>
      </c>
      <c r="F30" s="351">
        <v>8</v>
      </c>
      <c r="G30" s="352">
        <v>90</v>
      </c>
      <c r="H30" s="375"/>
      <c r="I30" s="354"/>
      <c r="J30" s="355"/>
      <c r="K30" s="356"/>
      <c r="L30" s="357"/>
      <c r="M30" s="358"/>
      <c r="N30" s="504"/>
      <c r="O30" s="505"/>
      <c r="P30" s="506"/>
      <c r="Q30" s="507"/>
      <c r="R30" s="508"/>
      <c r="S30" s="509"/>
      <c r="T30" s="520"/>
      <c r="U30" s="511"/>
      <c r="V30" s="512"/>
      <c r="W30" s="513"/>
      <c r="X30" s="518"/>
      <c r="Y30" s="347">
        <f>(H30+I30+J30+K30+M30+L30+N30+O30+P30+Q30+R30+S30+T30+U30+V30+W30+X30)*8</f>
        <v>0</v>
      </c>
      <c r="Z30" s="299">
        <f t="shared" si="1"/>
        <v>0</v>
      </c>
    </row>
    <row r="31" spans="2:26" s="4" customFormat="1" ht="18" customHeight="1" thickTop="1" thickBot="1" x14ac:dyDescent="0.4">
      <c r="B31" s="521">
        <v>1208</v>
      </c>
      <c r="C31" s="323" t="s">
        <v>186</v>
      </c>
      <c r="D31" s="488"/>
      <c r="E31" s="325" t="s">
        <v>88</v>
      </c>
      <c r="F31" s="325">
        <v>10</v>
      </c>
      <c r="G31" s="326">
        <v>200</v>
      </c>
      <c r="H31" s="327"/>
      <c r="I31" s="328"/>
      <c r="J31" s="329"/>
      <c r="K31" s="330"/>
      <c r="L31" s="331"/>
      <c r="M31" s="332"/>
      <c r="N31" s="489"/>
      <c r="O31" s="490"/>
      <c r="P31" s="491"/>
      <c r="Q31" s="492"/>
      <c r="R31" s="493"/>
      <c r="S31" s="494"/>
      <c r="T31" s="524"/>
      <c r="U31" s="496"/>
      <c r="V31" s="497"/>
      <c r="W31" s="498"/>
      <c r="X31" s="499"/>
      <c r="Y31" s="347">
        <f>(H31+I31+J31+K31+M31+L31+N31+O31+P31+Q31+R31+S31+T31+U31+V31+W31+X31)*10</f>
        <v>0</v>
      </c>
      <c r="Z31" s="299">
        <f t="shared" si="1"/>
        <v>0</v>
      </c>
    </row>
    <row r="32" spans="2:26" s="4" customFormat="1" ht="18" customHeight="1" thickTop="1" thickBot="1" x14ac:dyDescent="0.4">
      <c r="B32" s="300">
        <v>1209</v>
      </c>
      <c r="C32" s="345" t="s">
        <v>187</v>
      </c>
      <c r="D32" s="501"/>
      <c r="E32" s="303" t="s">
        <v>57</v>
      </c>
      <c r="F32" s="303">
        <v>8</v>
      </c>
      <c r="G32" s="304">
        <v>240</v>
      </c>
      <c r="H32" s="305"/>
      <c r="I32" s="306"/>
      <c r="J32" s="307"/>
      <c r="K32" s="308"/>
      <c r="L32" s="309"/>
      <c r="M32" s="310"/>
      <c r="N32" s="477"/>
      <c r="O32" s="478"/>
      <c r="P32" s="479"/>
      <c r="Q32" s="480"/>
      <c r="R32" s="481"/>
      <c r="S32" s="482"/>
      <c r="T32" s="519"/>
      <c r="U32" s="484"/>
      <c r="V32" s="485"/>
      <c r="W32" s="486"/>
      <c r="X32" s="487"/>
      <c r="Y32" s="347">
        <f>(H32+I32+J32+K32+M32+L32+N32+O32+P32+Q32+R32+S32+T32+U32+V32+W32+X32)*8</f>
        <v>0</v>
      </c>
      <c r="Z32" s="299">
        <f t="shared" si="1"/>
        <v>0</v>
      </c>
    </row>
    <row r="33" spans="2:26" s="4" customFormat="1" ht="18" customHeight="1" thickTop="1" thickBot="1" x14ac:dyDescent="0.4">
      <c r="B33" s="300">
        <v>1210</v>
      </c>
      <c r="C33" s="301" t="s">
        <v>188</v>
      </c>
      <c r="D33" s="503"/>
      <c r="E33" s="351" t="s">
        <v>49</v>
      </c>
      <c r="F33" s="351">
        <v>5</v>
      </c>
      <c r="G33" s="381">
        <v>220</v>
      </c>
      <c r="H33" s="375"/>
      <c r="I33" s="354"/>
      <c r="J33" s="355"/>
      <c r="K33" s="356"/>
      <c r="L33" s="357"/>
      <c r="M33" s="358"/>
      <c r="N33" s="504"/>
      <c r="O33" s="505"/>
      <c r="P33" s="506"/>
      <c r="Q33" s="507"/>
      <c r="R33" s="508"/>
      <c r="S33" s="509"/>
      <c r="T33" s="520"/>
      <c r="U33" s="511"/>
      <c r="V33" s="512"/>
      <c r="W33" s="513"/>
      <c r="X33" s="518"/>
      <c r="Y33" s="347">
        <f>(H33+I33+J33+K33+M33+L33+N33+O33+P33+Q33+R33+S33+T33+U33+V33+W33+X33)*5</f>
        <v>0</v>
      </c>
      <c r="Z33" s="299">
        <f t="shared" si="1"/>
        <v>0</v>
      </c>
    </row>
    <row r="34" spans="2:26" s="4" customFormat="1" ht="18" customHeight="1" thickTop="1" thickBot="1" x14ac:dyDescent="0.4">
      <c r="B34" s="521">
        <v>1211</v>
      </c>
      <c r="C34" s="522" t="s">
        <v>189</v>
      </c>
      <c r="D34" s="523"/>
      <c r="E34" s="325" t="s">
        <v>49</v>
      </c>
      <c r="F34" s="325">
        <v>6</v>
      </c>
      <c r="G34" s="326">
        <v>180</v>
      </c>
      <c r="H34" s="327"/>
      <c r="I34" s="328"/>
      <c r="J34" s="329"/>
      <c r="K34" s="330"/>
      <c r="L34" s="331"/>
      <c r="M34" s="332"/>
      <c r="N34" s="489"/>
      <c r="O34" s="490"/>
      <c r="P34" s="491"/>
      <c r="Q34" s="492"/>
      <c r="R34" s="493"/>
      <c r="S34" s="494"/>
      <c r="T34" s="524"/>
      <c r="U34" s="496"/>
      <c r="V34" s="497"/>
      <c r="W34" s="498"/>
      <c r="X34" s="499"/>
      <c r="Y34" s="347">
        <f>(H34+I34+J34+K34+M34+L34+N34+O34+P34+Q34+R34+S34+T34+U34+V34+W34+X34)*6</f>
        <v>0</v>
      </c>
      <c r="Z34" s="299">
        <f t="shared" si="1"/>
        <v>0</v>
      </c>
    </row>
    <row r="35" spans="2:26" s="4" customFormat="1" ht="18" customHeight="1" thickTop="1" thickBot="1" x14ac:dyDescent="0.4">
      <c r="B35" s="300">
        <v>1212</v>
      </c>
      <c r="C35" s="345" t="s">
        <v>146</v>
      </c>
      <c r="D35" s="501"/>
      <c r="E35" s="303" t="s">
        <v>49</v>
      </c>
      <c r="F35" s="303">
        <v>3</v>
      </c>
      <c r="G35" s="304">
        <v>160</v>
      </c>
      <c r="H35" s="305"/>
      <c r="I35" s="306"/>
      <c r="J35" s="307"/>
      <c r="K35" s="308"/>
      <c r="L35" s="309"/>
      <c r="M35" s="310"/>
      <c r="N35" s="477"/>
      <c r="O35" s="478"/>
      <c r="P35" s="479"/>
      <c r="Q35" s="480"/>
      <c r="R35" s="481"/>
      <c r="S35" s="482"/>
      <c r="T35" s="519"/>
      <c r="U35" s="484"/>
      <c r="V35" s="485"/>
      <c r="W35" s="486"/>
      <c r="X35" s="487"/>
      <c r="Y35" s="347">
        <f>(H35+I35+J35+K35+M35+L35+N35+O35+P35+Q35+R35+S35+T35+U35+V35+W35+X35)*3</f>
        <v>0</v>
      </c>
      <c r="Z35" s="299">
        <f t="shared" si="1"/>
        <v>0</v>
      </c>
    </row>
    <row r="36" spans="2:26" s="4" customFormat="1" ht="18" customHeight="1" thickTop="1" thickBot="1" x14ac:dyDescent="0.4">
      <c r="B36" s="300">
        <v>1213</v>
      </c>
      <c r="C36" s="301" t="s">
        <v>190</v>
      </c>
      <c r="D36" s="503"/>
      <c r="E36" s="351" t="s">
        <v>49</v>
      </c>
      <c r="F36" s="351">
        <v>3</v>
      </c>
      <c r="G36" s="352">
        <v>160</v>
      </c>
      <c r="H36" s="375"/>
      <c r="I36" s="354"/>
      <c r="J36" s="355"/>
      <c r="K36" s="356"/>
      <c r="L36" s="357"/>
      <c r="M36" s="358"/>
      <c r="N36" s="504"/>
      <c r="O36" s="505"/>
      <c r="P36" s="506"/>
      <c r="Q36" s="507"/>
      <c r="R36" s="508"/>
      <c r="S36" s="509"/>
      <c r="T36" s="520"/>
      <c r="U36" s="511"/>
      <c r="V36" s="512"/>
      <c r="W36" s="513"/>
      <c r="X36" s="518"/>
      <c r="Y36" s="347">
        <f>(H36+I36+J36+K36+M36+L36+N36+O36+P36+Q36+R36+S36+T36+U36+V36+W36+X36)*3</f>
        <v>0</v>
      </c>
      <c r="Z36" s="299">
        <f t="shared" si="1"/>
        <v>0</v>
      </c>
    </row>
    <row r="37" spans="2:26" s="4" customFormat="1" ht="18" customHeight="1" thickTop="1" thickBot="1" x14ac:dyDescent="0.4">
      <c r="B37" s="521">
        <v>1214</v>
      </c>
      <c r="C37" s="323" t="s">
        <v>147</v>
      </c>
      <c r="D37" s="488"/>
      <c r="E37" s="325" t="s">
        <v>50</v>
      </c>
      <c r="F37" s="325">
        <v>2</v>
      </c>
      <c r="G37" s="326">
        <v>200</v>
      </c>
      <c r="H37" s="327"/>
      <c r="I37" s="328"/>
      <c r="J37" s="329"/>
      <c r="K37" s="330"/>
      <c r="L37" s="331"/>
      <c r="M37" s="332"/>
      <c r="N37" s="489"/>
      <c r="O37" s="490"/>
      <c r="P37" s="491"/>
      <c r="Q37" s="492"/>
      <c r="R37" s="493"/>
      <c r="S37" s="494"/>
      <c r="T37" s="524"/>
      <c r="U37" s="496"/>
      <c r="V37" s="497"/>
      <c r="W37" s="498"/>
      <c r="X37" s="499"/>
      <c r="Y37" s="347">
        <f>(H37+I37+J37+K37+M37+L37+N37+O37+P37+Q37+R37+S37+T37+U37+V37+W37+X37)*2</f>
        <v>0</v>
      </c>
      <c r="Z37" s="299">
        <f t="shared" si="1"/>
        <v>0</v>
      </c>
    </row>
    <row r="38" spans="2:26" s="4" customFormat="1" ht="18" customHeight="1" thickTop="1" thickBot="1" x14ac:dyDescent="0.4">
      <c r="B38" s="300">
        <v>1215</v>
      </c>
      <c r="C38" s="345" t="s">
        <v>191</v>
      </c>
      <c r="D38" s="501"/>
      <c r="E38" s="303" t="s">
        <v>50</v>
      </c>
      <c r="F38" s="303">
        <v>2</v>
      </c>
      <c r="G38" s="304">
        <v>170</v>
      </c>
      <c r="H38" s="305"/>
      <c r="I38" s="306"/>
      <c r="J38" s="307"/>
      <c r="K38" s="308"/>
      <c r="L38" s="309"/>
      <c r="M38" s="310"/>
      <c r="N38" s="477"/>
      <c r="O38" s="478"/>
      <c r="P38" s="479"/>
      <c r="Q38" s="480"/>
      <c r="R38" s="481"/>
      <c r="S38" s="482"/>
      <c r="T38" s="519"/>
      <c r="U38" s="484"/>
      <c r="V38" s="485"/>
      <c r="W38" s="486"/>
      <c r="X38" s="487"/>
      <c r="Y38" s="347">
        <f>(H38+I38+J38+K38+M38+L38+N38+O38+P38+Q38+R38+S38+T38+U38+V38+W38+X38)*2</f>
        <v>0</v>
      </c>
      <c r="Z38" s="299">
        <f t="shared" si="1"/>
        <v>0</v>
      </c>
    </row>
    <row r="39" spans="2:26" s="4" customFormat="1" ht="18" customHeight="1" thickTop="1" thickBot="1" x14ac:dyDescent="0.4">
      <c r="B39" s="300">
        <v>1216</v>
      </c>
      <c r="C39" s="301" t="s">
        <v>192</v>
      </c>
      <c r="D39" s="503"/>
      <c r="E39" s="351" t="s">
        <v>50</v>
      </c>
      <c r="F39" s="351">
        <v>4</v>
      </c>
      <c r="G39" s="352">
        <v>300</v>
      </c>
      <c r="H39" s="375"/>
      <c r="I39" s="354"/>
      <c r="J39" s="355"/>
      <c r="K39" s="356"/>
      <c r="L39" s="357"/>
      <c r="M39" s="358"/>
      <c r="N39" s="504"/>
      <c r="O39" s="505"/>
      <c r="P39" s="506"/>
      <c r="Q39" s="507"/>
      <c r="R39" s="508"/>
      <c r="S39" s="509"/>
      <c r="T39" s="520"/>
      <c r="U39" s="511"/>
      <c r="V39" s="512"/>
      <c r="W39" s="513"/>
      <c r="X39" s="518"/>
      <c r="Y39" s="347">
        <f>(H39+I39+J39+K39+M39+L39+N39+O39+P39+Q39+R39+S39+T39+U39+V39+W39+X39)*4</f>
        <v>0</v>
      </c>
      <c r="Z39" s="299">
        <f t="shared" si="1"/>
        <v>0</v>
      </c>
    </row>
    <row r="40" spans="2:26" s="4" customFormat="1" ht="18" customHeight="1" thickTop="1" thickBot="1" x14ac:dyDescent="0.4">
      <c r="B40" s="430">
        <v>1217</v>
      </c>
      <c r="C40" s="431" t="s">
        <v>193</v>
      </c>
      <c r="D40" s="525"/>
      <c r="E40" s="433" t="s">
        <v>104</v>
      </c>
      <c r="F40" s="433">
        <f>SUM(F26:F39)</f>
        <v>69</v>
      </c>
      <c r="G40" s="434">
        <v>3000</v>
      </c>
      <c r="H40" s="435"/>
      <c r="I40" s="436"/>
      <c r="J40" s="437"/>
      <c r="K40" s="438"/>
      <c r="L40" s="439"/>
      <c r="M40" s="440"/>
      <c r="N40" s="526"/>
      <c r="O40" s="527"/>
      <c r="P40" s="528"/>
      <c r="Q40" s="529"/>
      <c r="R40" s="530"/>
      <c r="S40" s="531"/>
      <c r="T40" s="532"/>
      <c r="U40" s="533"/>
      <c r="V40" s="534"/>
      <c r="W40" s="535"/>
      <c r="X40" s="536"/>
      <c r="Y40" s="429">
        <f>(H40+I40+J40+K40+M40+L40+N40+O40+P40+Q40+R40+S40+T40+U40+V40+W40+X40)*69</f>
        <v>0</v>
      </c>
      <c r="Z40" s="452">
        <f t="shared" si="1"/>
        <v>0</v>
      </c>
    </row>
    <row r="41" spans="2:26" ht="18" customHeight="1" thickTop="1" x14ac:dyDescent="0.45">
      <c r="B41" s="4"/>
      <c r="C41" s="4"/>
      <c r="D41" s="4"/>
      <c r="E41" s="4"/>
      <c r="F41" s="4"/>
      <c r="G41" s="4"/>
      <c r="H41" s="2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30"/>
      <c r="Z41" s="30"/>
    </row>
    <row r="42" spans="2:26" ht="88.5" customHeight="1" x14ac:dyDescent="0.35">
      <c r="B42" s="970"/>
      <c r="C42" s="971"/>
      <c r="D42" s="971"/>
      <c r="E42" s="971"/>
      <c r="F42" s="971"/>
      <c r="G42" s="971"/>
      <c r="H42" s="31" t="s">
        <v>58</v>
      </c>
      <c r="I42" s="65" t="s">
        <v>59</v>
      </c>
      <c r="J42" s="32" t="s">
        <v>83</v>
      </c>
      <c r="K42" s="33" t="s">
        <v>60</v>
      </c>
      <c r="L42" s="34" t="s">
        <v>61</v>
      </c>
      <c r="M42" s="35" t="s">
        <v>62</v>
      </c>
      <c r="N42" s="186" t="s">
        <v>67</v>
      </c>
      <c r="O42" s="187" t="s">
        <v>64</v>
      </c>
      <c r="P42" s="188" t="s">
        <v>65</v>
      </c>
      <c r="Q42" s="189" t="s">
        <v>66</v>
      </c>
      <c r="R42" s="190" t="s">
        <v>67</v>
      </c>
      <c r="S42" s="191" t="s">
        <v>68</v>
      </c>
      <c r="T42" s="192"/>
      <c r="U42" s="235" t="s">
        <v>70</v>
      </c>
      <c r="V42" s="236" t="s">
        <v>71</v>
      </c>
      <c r="W42" s="237" t="s">
        <v>72</v>
      </c>
      <c r="X42" s="238" t="s">
        <v>73</v>
      </c>
      <c r="Y42" s="970"/>
      <c r="Z42" s="971"/>
    </row>
    <row r="43" spans="2:26" ht="18" customHeight="1" x14ac:dyDescent="0.35">
      <c r="B43" s="970"/>
      <c r="C43" s="971"/>
      <c r="E43" s="1003" t="s">
        <v>74</v>
      </c>
      <c r="F43" s="1004"/>
      <c r="G43" s="1005"/>
      <c r="H43" s="537">
        <f>(H10*8)+(H11*8)+(H12*8)+(H13*8)+(H14*4)+(H15*5)+(H16*41)+(H17*24)+(H18*10)+(H19*18)+(H20*7)+(H21*7)+(H22*66)+(H23*107)+(H26*6)+(H27*6)+(H28*4)+(H29*2)+(H30*8)+(H31*10)+(H32*8)+(H33*5)+(H34*6)+(H35*3)+(H36*3)+(H37*2)+(H38*2)+(H39*4)+(H40*69)</f>
        <v>0</v>
      </c>
      <c r="I43" s="537">
        <f t="shared" ref="I43:N43" si="2">(I10*8)+(I11*8)+(I12*8)+(I13*8)+(I14*4)+(I15*5)+(I16*41)+(I17*24)+(I18*10)+(I19*18)+(I20*7)+(I21*7)+(I22*66)+(I23*107)+(I26*6)+(I27*6)+(I28*4)+(I29*2)+(I30*8)+(I31*10)+(I32*8)+(I33*5)+(I34*6)+(I35*3)+(I36*3)+(I37*2)+(I38*2)+(I39*4)+(I40*69)</f>
        <v>0</v>
      </c>
      <c r="J43" s="537">
        <f t="shared" si="2"/>
        <v>0</v>
      </c>
      <c r="K43" s="537">
        <f t="shared" si="2"/>
        <v>0</v>
      </c>
      <c r="L43" s="537">
        <f t="shared" si="2"/>
        <v>0</v>
      </c>
      <c r="M43" s="537">
        <f t="shared" si="2"/>
        <v>0</v>
      </c>
      <c r="N43" s="537">
        <f t="shared" si="2"/>
        <v>0</v>
      </c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971"/>
      <c r="Z43" s="971"/>
    </row>
    <row r="44" spans="2:26" ht="18" customHeight="1" x14ac:dyDescent="0.35">
      <c r="B44" s="971"/>
      <c r="C44" s="971"/>
      <c r="E44" s="1003" t="s">
        <v>75</v>
      </c>
      <c r="F44" s="1004"/>
      <c r="G44" s="1005"/>
      <c r="H44" s="537">
        <f>H10+H11+H12+H13+H14+H15+(H16*6)+H17+H18+H19+H20+H21+(H22*5)+(H23*11)+H26+H27+H28+H29+H30+H31+H32+H33+H34+H35+H36+H37+H38+H39+(H40*14)</f>
        <v>0</v>
      </c>
      <c r="I44" s="537">
        <f t="shared" ref="I44:N44" si="3">I10+I11+I12+I13+I14+I15+(I16*6)+I17+I18+I19+I20+I21+(I22*5)+(I23*11)+I26+I27+I28+I29+I30+I31+I32+I33+I34+I35+I36+I37+I38+I39+(I40*14)</f>
        <v>0</v>
      </c>
      <c r="J44" s="537">
        <f t="shared" si="3"/>
        <v>0</v>
      </c>
      <c r="K44" s="537">
        <f t="shared" si="3"/>
        <v>0</v>
      </c>
      <c r="L44" s="537">
        <f t="shared" si="3"/>
        <v>0</v>
      </c>
      <c r="M44" s="537">
        <f t="shared" si="3"/>
        <v>0</v>
      </c>
      <c r="N44" s="537">
        <f t="shared" si="3"/>
        <v>0</v>
      </c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971"/>
      <c r="Z44" s="971"/>
    </row>
    <row r="45" spans="2:26" ht="14.25" customHeight="1" x14ac:dyDescent="0.45">
      <c r="B45" s="971"/>
      <c r="C45" s="971"/>
      <c r="E45" s="46"/>
      <c r="F45" s="46"/>
      <c r="G45" s="46"/>
      <c r="H45" s="987" t="s">
        <v>76</v>
      </c>
      <c r="I45" s="988"/>
      <c r="J45" s="988"/>
      <c r="K45" s="988"/>
      <c r="L45" s="988"/>
      <c r="M45" s="988"/>
      <c r="N45" s="988"/>
      <c r="O45" s="988"/>
      <c r="P45" s="988"/>
      <c r="Q45" s="988"/>
      <c r="R45" s="988"/>
      <c r="S45" s="988"/>
      <c r="T45" s="988"/>
      <c r="U45" s="988"/>
      <c r="V45" s="988"/>
      <c r="W45" s="988"/>
      <c r="X45" s="988"/>
      <c r="Y45" s="971"/>
      <c r="Z45" s="971"/>
    </row>
    <row r="46" spans="2:26" ht="14.25" customHeight="1" x14ac:dyDescent="0.35">
      <c r="B46" s="971"/>
      <c r="C46" s="97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971"/>
      <c r="Z46" s="971"/>
    </row>
    <row r="47" spans="2:26" ht="14.25" customHeight="1" x14ac:dyDescent="0.35">
      <c r="B47" s="971"/>
      <c r="C47" s="97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971"/>
      <c r="Z47" s="971"/>
    </row>
    <row r="48" spans="2:26" ht="18" customHeight="1" x14ac:dyDescent="0.35">
      <c r="B48" s="971"/>
      <c r="C48" s="971"/>
      <c r="E48" s="1019" t="s">
        <v>393</v>
      </c>
      <c r="F48" s="1020"/>
      <c r="G48" s="1021"/>
      <c r="H48" s="245">
        <v>40</v>
      </c>
      <c r="I48" s="246">
        <v>50</v>
      </c>
      <c r="J48" s="246">
        <v>60</v>
      </c>
      <c r="K48" s="245">
        <v>70</v>
      </c>
      <c r="L48" s="246">
        <v>80</v>
      </c>
      <c r="M48" s="246">
        <v>90</v>
      </c>
      <c r="N48" s="245">
        <v>100</v>
      </c>
      <c r="O48" s="246">
        <v>110</v>
      </c>
      <c r="P48" s="246">
        <v>120</v>
      </c>
      <c r="Q48" s="245">
        <v>130</v>
      </c>
      <c r="R48" s="246">
        <v>140</v>
      </c>
      <c r="S48" s="246">
        <v>150</v>
      </c>
      <c r="T48" s="245">
        <v>160</v>
      </c>
      <c r="U48" s="246">
        <v>170</v>
      </c>
      <c r="V48" s="246">
        <v>180</v>
      </c>
      <c r="W48" s="245">
        <v>190</v>
      </c>
      <c r="X48" s="1"/>
      <c r="Y48" s="971"/>
      <c r="Z48" s="971"/>
    </row>
    <row r="49" spans="2:26" ht="18" customHeight="1" x14ac:dyDescent="0.35">
      <c r="B49" s="971"/>
      <c r="C49" s="971"/>
      <c r="E49" s="1019" t="s">
        <v>133</v>
      </c>
      <c r="F49" s="1020"/>
      <c r="G49" s="1021"/>
      <c r="H49" s="244">
        <f>(Y26*0)+(Y27*0)+(Y28*0)+(Y29*0)+(Y30*1)+(Y31/10*7)+(Y32/8*1)+(Y33/5*2)+(Y34*0)+(Y35*0)+(Y36*0)+(Y37*0)+(Y38*0)+(Y39*0)+(Y40/69*18)</f>
        <v>0</v>
      </c>
      <c r="I49" s="247">
        <f>(Y26/6*2)+(Y27*0)+(Y28*0)+(Y29*0)+(Y30*0)+(Y31/10*3)+(Y32/8*6)+(Y33/5*3)+(Y34/6*2)+(Y35*0)+(Y36*0)+(Y37*0)+(Y38*0)+(Y39/4*2)+(Y40/69*18)</f>
        <v>0</v>
      </c>
      <c r="J49" s="247">
        <f>(Y26/6*4)+(Y27/6*2)+(Y28*0)+(Y29*0)+(Y30*0)+(Y31*0)+(Y32/8*1)+(Y33*0)+(Y34/6*4)+(Y35*0)+(Y36*0)+(Y37*0)+(Y38*0)+(Y39*0)+(Y40/69*11)</f>
        <v>0</v>
      </c>
      <c r="K49" s="247">
        <f>(Y26*0)+(Y27/6*4)+(Y28*0)+(Y29*0)+(Y30*0)+(Y31*0)+(Y32*0)+(Y33*0)+(Y34*0)+(Y35*0)+(Y36/3*2)+(Y37*0)+(Y38*0)+(Y39/4*2)+(Y40/69*8)</f>
        <v>0</v>
      </c>
      <c r="L49" s="247">
        <f>(Y26*0)+(Y27/6*2)+(Y28/4*2)+(Y29/2*1)+(Y30*0)+(Y31*0)+(Y32*0)+(Y33*0)+(Y34*0)+(Y35/3*2)+(Y36/3*1)+(Y37*0)+(Y38*0)+(Y39*0)+(Y40/69*8)</f>
        <v>0</v>
      </c>
      <c r="M49" s="247">
        <f>(Y26*0)+(Y27*0)+(Y28/4*2)+(Y29/2*1)+(Y30*0)+(Y31*0)+(Y32*0)+(Y33*0)+(Y34*0)+(Y35/3*1)+(Y36*0)+(Y37*1)+(Y38*1)+(Y39*0)+(Y40/69*8)</f>
        <v>0</v>
      </c>
      <c r="N49" s="247">
        <f>(Y26*0)+(Y27*0)+(Y28*0)+(Y29*0)+(Y30*0)+(Y31*0)+(Y32*0)+(Y33*0)+(Y34*0)+(Y35*0)+(Y36*0)+(Y37*0)+(Y38*0)+(Y39*0)+(Y40*0)</f>
        <v>0</v>
      </c>
      <c r="O49" s="247">
        <f>(Y26*0)+(Y27*0)+(Y28*0)+(Y29*0)+(Y30*0)+(Y31*0)+(Y32*0)+(Y33*0)+(Y34*0)+(Y35*0)+(Y36*0)+(Y37*0)+(Y38*0)+(Y39*0)+(Y40*0)</f>
        <v>0</v>
      </c>
      <c r="P49" s="247">
        <f>(Y26*0)+(Y27*0)+(Y28*0)+(Y29*0)+(Y30*0)+(Y31*0)+(Y32*0)+(Y33*0)+(Y34*0)+(Y35*0)+(Y36*0)+(Y37*0)+(Y38*0)+(Y39*0)+(Y40*0)</f>
        <v>0</v>
      </c>
      <c r="Q49" s="247">
        <f>(Y26*0)+(Y27*0)+(Y28*0)+(Y29*0)+(Y30*0)+(Y31*0)+(Y32*0)+(Y33*0)+(Y34*0)+(Y35*0)+(Y36*0)+(Y37*0)+(Y38*0)+(Y39*0)+(Y40*0)</f>
        <v>0</v>
      </c>
      <c r="R49" s="247">
        <f>(Y26*0)+(Y27*0)+(Y28*0)+(Y29*0)+(Y30*0)+(Y31*0)+(Y32*0)+(Y33*0)+(Y34*0)+(Y35*0)+(Y36*0)+(Y37*0)+(Y38*0)+(Y39*0)+(Y40*0)</f>
        <v>0</v>
      </c>
      <c r="S49" s="247">
        <f>(Y26*0)+(Y27*0)+(Y28*0)+(Y29*0)+(Y30*0)+(Y31*0)+(Y32*0)+(Y33*0)+(Y34*0)+(Y35*0)+(Y36*0)+(Y37*0)+(Y38*0)+(Y39*0)+(Y40*0)</f>
        <v>0</v>
      </c>
      <c r="T49" s="247">
        <f>(Y26*0)+(Y27*0)+(Y28*0)+(Y29*0)+(Y30*0)+(Y31*0)+(Y32*0)+(Y33*0)+(Y34*0)+(Y35*0)+(Y36*0)+(Y37*0)+(Y38*0)+(Y39*0)+(Y40*0)</f>
        <v>0</v>
      </c>
      <c r="U49" s="247">
        <f>(Y26*0)+(Y27*0)+(Y28*0)+(Y29*0)+(Y30*0)+(Y31*0)+(Y32*0)+(Y33*0)+(Y34*0)+(Y35*0)+(Y36*0)+(Y37*0)+(Y38*0)+(Y39*0)+(Y40*0)</f>
        <v>0</v>
      </c>
      <c r="V49" s="247">
        <f>(Y26*0)+(Y27*0)+(Y28*0)+(Y29*0)+(Y30*0)+(Y31*0)+(Y32*0)+(Y33*0)+(Y34*0)+(Y35*0)+(Y36*0)+(Y37*0)+(Y38*0)+(Y39*0)+(Y40*0)</f>
        <v>0</v>
      </c>
      <c r="W49" s="247">
        <f>(Y26*0)+(Y27*0)+(Y28*0)+(Y29*0)+(Y30*0)+(Y31*0)+(Y32*0)+(Y33*0)+(Y34*0)+(Y35*0)+(Y36*0)+(Y37*0)+(Y38*0)+(Y39*0)+(Y40*0)</f>
        <v>0</v>
      </c>
      <c r="X49" s="1"/>
      <c r="Y49" s="971"/>
      <c r="Z49" s="971"/>
    </row>
    <row r="50" spans="2:26" ht="14.25" customHeight="1" x14ac:dyDescent="0.35">
      <c r="B50" s="971"/>
      <c r="C50" s="97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971"/>
      <c r="Z50" s="971"/>
    </row>
    <row r="51" spans="2:26" ht="18" customHeight="1" x14ac:dyDescent="0.45">
      <c r="B51" s="971"/>
      <c r="C51" s="971"/>
      <c r="E51" s="1022" t="s">
        <v>138</v>
      </c>
      <c r="F51" s="1023"/>
      <c r="G51" s="1023"/>
      <c r="H51" s="244">
        <f>(Y10*2)+(Y11*2)+(Y12*2)+(Y13*2)+(Y14*2)+(Y15*2)+(Y16*2)+(Y17/24*43)+(Y18*2)+(Y19*2)+(Y20*2)+(Y21*2)+(Y22/66*127)+(Y23/107*209)+(Y26*3)+(Y27*3)+(Y28*4)+(Y29*4)+(Y30*2)+(Y31/10*23)+(Y32*3)+(Y33*3)+(Y34*3)+(Y35*3)+(Y36*3)+(Y37*4)+(Y38*4)+(Y39*4)+(Y40/69*206)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971"/>
      <c r="Z51" s="971"/>
    </row>
    <row r="52" spans="2:26" ht="18" customHeight="1" x14ac:dyDescent="0.45">
      <c r="B52" s="971"/>
      <c r="C52" s="971"/>
      <c r="E52" s="242"/>
      <c r="F52" s="243"/>
      <c r="G52" s="243"/>
      <c r="H52" s="5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971"/>
      <c r="Z52" s="971"/>
    </row>
    <row r="53" spans="2:26" ht="14.25" customHeight="1" x14ac:dyDescent="0.35">
      <c r="B53" s="971"/>
      <c r="C53" s="97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971"/>
      <c r="Z53" s="971"/>
    </row>
    <row r="54" spans="2:26" ht="27.75" customHeight="1" x14ac:dyDescent="0.55000000000000004">
      <c r="B54" s="971"/>
      <c r="C54" s="971"/>
      <c r="E54" s="972" t="s">
        <v>18</v>
      </c>
      <c r="F54" s="973"/>
      <c r="G54" s="974"/>
      <c r="H54" s="972">
        <f>H43+I43+J43+K43+L43+M43+N43</f>
        <v>0</v>
      </c>
      <c r="I54" s="973"/>
      <c r="J54" s="973"/>
      <c r="K54" s="973"/>
      <c r="L54" s="974"/>
      <c r="M54" s="1"/>
      <c r="N54" s="1"/>
      <c r="O54" s="975"/>
      <c r="P54" s="976"/>
      <c r="Q54" s="976"/>
      <c r="R54" s="976"/>
      <c r="S54" s="977"/>
      <c r="T54" s="978"/>
      <c r="U54" s="976"/>
      <c r="V54" s="976"/>
      <c r="W54" s="976"/>
      <c r="X54" s="977"/>
      <c r="Y54" s="971"/>
      <c r="Z54" s="971"/>
    </row>
    <row r="55" spans="2:26" ht="27.75" customHeight="1" x14ac:dyDescent="0.55000000000000004">
      <c r="B55" s="971"/>
      <c r="C55" s="971"/>
      <c r="E55" s="972" t="s">
        <v>19</v>
      </c>
      <c r="F55" s="973"/>
      <c r="G55" s="974"/>
      <c r="H55" s="972">
        <f>H44+I44+J44+K44+L44+M44+N44</f>
        <v>0</v>
      </c>
      <c r="I55" s="973"/>
      <c r="J55" s="973"/>
      <c r="K55" s="973"/>
      <c r="L55" s="97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971"/>
      <c r="Z55" s="971"/>
    </row>
    <row r="56" spans="2:26" ht="27.75" customHeight="1" x14ac:dyDescent="0.55000000000000004">
      <c r="B56" s="971"/>
      <c r="C56" s="971"/>
      <c r="E56" s="1017" t="s">
        <v>108</v>
      </c>
      <c r="F56" s="980"/>
      <c r="G56" s="981"/>
      <c r="H56" s="979">
        <f>SUM(Z10:Z40)</f>
        <v>0</v>
      </c>
      <c r="I56" s="980"/>
      <c r="J56" s="980"/>
      <c r="K56" s="980"/>
      <c r="L56" s="98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971"/>
      <c r="Z56" s="971"/>
    </row>
    <row r="57" spans="2:26" ht="14.25" customHeight="1" x14ac:dyDescent="0.35">
      <c r="B57" s="1"/>
      <c r="C57" s="1"/>
      <c r="D57" s="1"/>
      <c r="E57" s="1"/>
      <c r="F57" s="1"/>
      <c r="G57" s="1"/>
      <c r="H57" s="962" t="s">
        <v>17</v>
      </c>
      <c r="I57" s="963"/>
      <c r="J57" s="963"/>
      <c r="K57" s="963"/>
      <c r="L57" s="96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4.25" customHeight="1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4.25" customHeight="1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4.25" hidden="1" customHeight="1" x14ac:dyDescent="0.35"/>
    <row r="61" spans="2:26" ht="14.25" hidden="1" customHeight="1" x14ac:dyDescent="0.35"/>
    <row r="62" spans="2:26" ht="14.25" hidden="1" customHeight="1" x14ac:dyDescent="0.35"/>
    <row r="63" spans="2:26" ht="14.25" hidden="1" customHeight="1" x14ac:dyDescent="0.35"/>
    <row r="64" spans="2:26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ht="14.25" hidden="1" customHeight="1" x14ac:dyDescent="0.35"/>
    <row r="82" ht="14.25" hidden="1" customHeight="1" x14ac:dyDescent="0.35"/>
    <row r="83" ht="14.25" hidden="1" customHeight="1" x14ac:dyDescent="0.35"/>
    <row r="84" ht="14.25" hidden="1" customHeight="1" x14ac:dyDescent="0.35"/>
    <row r="85" ht="14.25" hidden="1" customHeight="1" x14ac:dyDescent="0.35"/>
    <row r="86" ht="14.25" hidden="1" customHeight="1" x14ac:dyDescent="0.35"/>
    <row r="87" ht="14.25" hidden="1" customHeight="1" x14ac:dyDescent="0.35"/>
    <row r="88" ht="14.25" hidden="1" customHeight="1" x14ac:dyDescent="0.35"/>
    <row r="89" ht="14.25" hidden="1" customHeight="1" x14ac:dyDescent="0.35"/>
    <row r="90" ht="14.25" hidden="1" customHeight="1" x14ac:dyDescent="0.35"/>
    <row r="91" ht="14.25" hidden="1" customHeight="1" x14ac:dyDescent="0.35"/>
    <row r="92" ht="14.25" hidden="1" customHeight="1" x14ac:dyDescent="0.35"/>
    <row r="93" ht="14.25" hidden="1" customHeight="1" x14ac:dyDescent="0.35"/>
    <row r="94" ht="14.25" hidden="1" customHeight="1" x14ac:dyDescent="0.35"/>
    <row r="95" ht="14.25" hidden="1" customHeight="1" x14ac:dyDescent="0.35"/>
    <row r="96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</sheetData>
  <sheetProtection algorithmName="SHA-512" hashValue="T+XJ4+L7j1IyPLWMUS4RMk5Os9q/qMywvJxXfwQyydoqkAe5fILbKA35gWOATZVEZhQCarpRG+uZCGj23IsUrw==" saltValue="3jvAxFgWhENgpHPHcF7ljQ==" spinCount="100000" sheet="1" objects="1" scenarios="1"/>
  <mergeCells count="35">
    <mergeCell ref="H57:L57"/>
    <mergeCell ref="O7:X7"/>
    <mergeCell ref="O54:S54"/>
    <mergeCell ref="T54:X54"/>
    <mergeCell ref="E55:G55"/>
    <mergeCell ref="H55:L55"/>
    <mergeCell ref="E56:G56"/>
    <mergeCell ref="H56:L56"/>
    <mergeCell ref="B25:G25"/>
    <mergeCell ref="H25:X25"/>
    <mergeCell ref="B42:G42"/>
    <mergeCell ref="C8:D8"/>
    <mergeCell ref="B9:G9"/>
    <mergeCell ref="H9:Z9"/>
    <mergeCell ref="Y42:Z56"/>
    <mergeCell ref="B43:C56"/>
    <mergeCell ref="E43:G43"/>
    <mergeCell ref="E44:G44"/>
    <mergeCell ref="H45:X45"/>
    <mergeCell ref="E54:G54"/>
    <mergeCell ref="H54:L54"/>
    <mergeCell ref="E48:G48"/>
    <mergeCell ref="E49:G49"/>
    <mergeCell ref="E51:G51"/>
    <mergeCell ref="V4:Y4"/>
    <mergeCell ref="J5:M5"/>
    <mergeCell ref="V5:Y5"/>
    <mergeCell ref="R6:Z6"/>
    <mergeCell ref="Y7:Z7"/>
    <mergeCell ref="R1:Z1"/>
    <mergeCell ref="N2:T2"/>
    <mergeCell ref="V2:Y2"/>
    <mergeCell ref="J3:M3"/>
    <mergeCell ref="N3:T3"/>
    <mergeCell ref="V3:Y3"/>
  </mergeCells>
  <dataValidations count="1">
    <dataValidation type="list" allowBlank="1" showErrorMessage="1" sqref="N5" xr:uid="{015BBC6F-E8C2-4239-92E8-78BF2FEC143B}">
      <formula1>"NoScrews,WithScrews"</formula1>
    </dataValidation>
  </dataValidations>
  <pageMargins left="0.70866141732283472" right="0.70866141732283472" top="0.78740157480314965" bottom="0.78740157480314965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60"/>
  <sheetViews>
    <sheetView showGridLines="0" zoomScale="60" zoomScaleNormal="60" workbookViewId="0">
      <pane xSplit="22" ySplit="7" topLeftCell="AB8" activePane="bottomRight" state="frozen"/>
      <selection activeCell="L69" sqref="L69"/>
      <selection pane="topRight" activeCell="L69" sqref="L69"/>
      <selection pane="bottomLeft" activeCell="L69" sqref="L69"/>
      <selection pane="bottomRight" activeCell="N5" sqref="N5"/>
    </sheetView>
  </sheetViews>
  <sheetFormatPr baseColWidth="10" defaultColWidth="0" defaultRowHeight="15" customHeight="1" zeroHeight="1" x14ac:dyDescent="0.35"/>
  <cols>
    <col min="1" max="1" width="2.81640625" customWidth="1"/>
    <col min="2" max="2" width="12.36328125" bestFit="1" customWidth="1"/>
    <col min="3" max="3" width="44.81640625" customWidth="1"/>
    <col min="4" max="4" width="5.08984375" bestFit="1" customWidth="1"/>
    <col min="5" max="5" width="1.1796875" customWidth="1"/>
    <col min="6" max="6" width="12.08984375" customWidth="1"/>
    <col min="7" max="7" width="19.1796875" customWidth="1"/>
    <col min="8" max="17" width="5.6328125" customWidth="1"/>
    <col min="18" max="18" width="15.6328125" customWidth="1"/>
    <col min="19" max="19" width="14.36328125" customWidth="1"/>
    <col min="20" max="20" width="18.90625" customWidth="1"/>
    <col min="21" max="27" width="10.6328125" hidden="1" customWidth="1"/>
    <col min="28" max="28" width="1.6328125" customWidth="1"/>
    <col min="29" max="29" width="1.6328125" hidden="1" customWidth="1"/>
    <col min="30" max="16384" width="14.453125" hidden="1"/>
  </cols>
  <sheetData>
    <row r="1" spans="2:20" ht="12" customHeight="1" x14ac:dyDescent="0.55000000000000004">
      <c r="B1" s="1"/>
      <c r="C1" s="1"/>
      <c r="D1" s="1"/>
      <c r="E1" s="1"/>
      <c r="F1" s="1"/>
      <c r="G1" s="1"/>
      <c r="H1" s="1"/>
      <c r="I1" s="1"/>
      <c r="J1" s="6"/>
      <c r="K1" s="2"/>
      <c r="L1" s="2"/>
      <c r="M1" s="2"/>
      <c r="N1" s="997"/>
      <c r="O1" s="976"/>
      <c r="P1" s="976"/>
      <c r="Q1" s="977"/>
      <c r="R1" s="47"/>
      <c r="S1" s="48"/>
    </row>
    <row r="2" spans="2:20" ht="21.75" customHeight="1" x14ac:dyDescent="0.55000000000000004">
      <c r="B2" s="1"/>
      <c r="C2" s="1"/>
      <c r="D2" s="1"/>
      <c r="E2" s="1"/>
      <c r="F2" s="1"/>
      <c r="G2" s="1"/>
      <c r="H2" s="1"/>
      <c r="I2" s="1030"/>
      <c r="J2" s="1031"/>
      <c r="K2" s="1031"/>
      <c r="L2" s="1032"/>
      <c r="M2" s="1031"/>
      <c r="N2" s="1031"/>
      <c r="O2" s="1031"/>
      <c r="P2" s="1031"/>
      <c r="Q2" s="2"/>
      <c r="R2" s="1033" t="s">
        <v>77</v>
      </c>
      <c r="S2" s="1034"/>
      <c r="T2" s="538">
        <f>H140</f>
        <v>0</v>
      </c>
    </row>
    <row r="3" spans="2:20" ht="21.75" customHeight="1" x14ac:dyDescent="0.55000000000000004">
      <c r="B3" s="1"/>
      <c r="C3" s="1"/>
      <c r="D3" s="1"/>
      <c r="E3" s="1"/>
      <c r="F3" s="1"/>
      <c r="G3" s="1"/>
      <c r="H3" s="1"/>
      <c r="I3" s="1035" t="s">
        <v>0</v>
      </c>
      <c r="J3" s="998"/>
      <c r="K3" s="999"/>
      <c r="L3" s="1036">
        <f ca="1">TODAY()</f>
        <v>46282</v>
      </c>
      <c r="M3" s="998"/>
      <c r="N3" s="998"/>
      <c r="O3" s="998"/>
      <c r="P3" s="999"/>
      <c r="Q3" s="2"/>
      <c r="R3" s="1033" t="s">
        <v>78</v>
      </c>
      <c r="S3" s="1034"/>
      <c r="T3" s="913">
        <f>(R9*0.8)+(R10*0.8)+(R11*1)+(R12*1.1)+(R13*1.1)+(R14*1.1)+(R15*1.1)+(R16*1.1)+(R17*1.1)+(R18*1.25)+(R19*1.25)+(R20*1.6)+(R21*2)+(R22*1.8)+(R23*2.1)+(R24*2.7)+(R25*2.6)+(R26*2.6)+(R27*2.8)+(R28*3.5)+(R29*3.7)+(R30*7.5)+(R31*9)+((R32*48.4)/23)+(R34*0.88)+(R35*0.88)+(R36*1.1)+(R37*1.2)+(R38*1.2)+(R39*1.2)+(R40*1.2)+(R41*1.2)+(R42*1.2)+(R43*1.35)+(R44*1.35)+(R45*1.75)+(R46*2.2)+(R47*2)+(R48*2.3)+(R49*3)+(R50*2.9)+(R51*2.9)+(R52*3.1)+(R53*3.9)+(R54*4.1)+(R55*8.3)+(R56*10)+((R57*53.53)/23)+(R59*0.8)+(R60*0.8)+(R61*1)+(R62*1.1)+(R63*1.1)+(R64*1.1)+(R65*1.1)+(R66*1.1)+(R67*1.1)+(R68*1.25)+(R69*1.25)+(R70*1.6)+(R71*2)+(R72*1.8)+(R73*2.1)+(R74*2.7)+(R75*2.6)+(R76*2.6)+(R77*2.8)+(R78*3.5)+(R79*3.7)+(R80*7.5)+(R81*9)+((R82*48.4)/23)+(R85*0.85)+(R86*1.15)+(R87*1.1)+(R88*1.3)+(R89*1.4)+(R90*1.6)+(R91*1.8)+(R92*1.8)+(R93*1.8)+(R94*1.9)+(R95*2.1)+(R96*2.3)+(R97*2.4)+(R98*2.4)+(R99*2.6)+(R100*2.5)+(R101*2.5)+(R102*2.8)+(R103*2.9)+(R104*3)+(R105*3.1)+(R106*3.9)+((R107*47.2)/22)+(R109*0.85)+(R110*1.15)+(R111*1.1)+(R112*1.3)+(R113*1.4)+(R114*1.6)+(R115*1.8)+(R116*1.8)+(R117*1.8)+(R118*1.9)+(R119*2.1)+(R120*2.3)+(R121*2.4)+(R122*2.4)+(R123*2.6)+(R124*2.5)+(R125*2.5)+(R126*2.8)+(R127*2.9)+(R128*3)+(R129*3.1)+(R130*3.9)+((R131*47.2)/22)</f>
        <v>0</v>
      </c>
    </row>
    <row r="4" spans="2:20" ht="21.75" customHeight="1" x14ac:dyDescent="0.55000000000000004">
      <c r="B4" s="1"/>
      <c r="C4" s="1"/>
      <c r="D4" s="1"/>
      <c r="E4" s="1"/>
      <c r="F4" s="1"/>
      <c r="G4" s="1"/>
      <c r="H4" s="1"/>
      <c r="I4" s="1050"/>
      <c r="J4" s="968"/>
      <c r="K4" s="968"/>
      <c r="L4" s="1051"/>
      <c r="M4" s="968"/>
      <c r="N4" s="968"/>
      <c r="O4" s="968"/>
      <c r="P4" s="968"/>
      <c r="Q4" s="1"/>
      <c r="R4" s="1033" t="s">
        <v>87</v>
      </c>
      <c r="S4" s="966"/>
      <c r="T4" s="539">
        <f>H141</f>
        <v>0</v>
      </c>
    </row>
    <row r="5" spans="2:20" ht="21.7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970"/>
      <c r="Q5" s="971"/>
      <c r="R5" s="971"/>
      <c r="S5" s="971"/>
      <c r="T5" s="88" t="s">
        <v>17</v>
      </c>
    </row>
    <row r="6" spans="2:20" ht="14.25" customHeight="1" x14ac:dyDescent="0.35">
      <c r="B6" s="7"/>
      <c r="C6" s="7"/>
      <c r="D6" s="5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970"/>
      <c r="Q6" s="971"/>
      <c r="R6" s="1048"/>
      <c r="S6" s="1049"/>
    </row>
    <row r="7" spans="2:20" ht="69.75" customHeight="1" thickBot="1" x14ac:dyDescent="0.4">
      <c r="B7" s="8" t="s">
        <v>22</v>
      </c>
      <c r="C7" s="1001" t="s">
        <v>23</v>
      </c>
      <c r="D7" s="1002"/>
      <c r="E7" s="9"/>
      <c r="F7" s="74" t="s">
        <v>105</v>
      </c>
      <c r="G7" s="9" t="s">
        <v>13</v>
      </c>
      <c r="H7" s="11" t="s">
        <v>26</v>
      </c>
      <c r="I7" s="60" t="s">
        <v>27</v>
      </c>
      <c r="J7" s="12" t="s">
        <v>28</v>
      </c>
      <c r="K7" s="13" t="s">
        <v>29</v>
      </c>
      <c r="L7" s="14" t="s">
        <v>30</v>
      </c>
      <c r="M7" s="15" t="s">
        <v>31</v>
      </c>
      <c r="N7" s="16" t="s">
        <v>32</v>
      </c>
      <c r="O7" s="19" t="s">
        <v>35</v>
      </c>
      <c r="P7" s="20" t="s">
        <v>36</v>
      </c>
      <c r="Q7" s="59" t="s">
        <v>79</v>
      </c>
      <c r="R7" s="73" t="s">
        <v>106</v>
      </c>
      <c r="S7" s="49" t="s">
        <v>80</v>
      </c>
    </row>
    <row r="8" spans="2:20" ht="42.75" customHeight="1" thickBot="1" x14ac:dyDescent="0.4">
      <c r="B8" s="1027" t="s">
        <v>110</v>
      </c>
      <c r="C8" s="1015"/>
      <c r="D8" s="1016"/>
      <c r="E8" s="1015"/>
      <c r="F8" s="1015"/>
      <c r="G8" s="1016"/>
      <c r="H8" s="1006"/>
      <c r="I8" s="1007"/>
      <c r="J8" s="1007"/>
      <c r="K8" s="1007"/>
      <c r="L8" s="1007"/>
      <c r="M8" s="1007"/>
      <c r="N8" s="1007"/>
      <c r="O8" s="1007"/>
      <c r="P8" s="1007"/>
      <c r="Q8" s="1007"/>
      <c r="R8" s="1007"/>
      <c r="S8" s="1008"/>
    </row>
    <row r="9" spans="2:20" ht="18" customHeight="1" thickTop="1" thickBot="1" x14ac:dyDescent="0.4">
      <c r="B9" s="276">
        <v>2001</v>
      </c>
      <c r="C9" s="730" t="s">
        <v>264</v>
      </c>
      <c r="D9" s="541"/>
      <c r="E9" s="731"/>
      <c r="F9" s="279">
        <v>1</v>
      </c>
      <c r="G9" s="280">
        <v>160</v>
      </c>
      <c r="H9" s="281"/>
      <c r="I9" s="282"/>
      <c r="J9" s="283"/>
      <c r="K9" s="284"/>
      <c r="L9" s="285"/>
      <c r="M9" s="286"/>
      <c r="N9" s="287"/>
      <c r="O9" s="290"/>
      <c r="P9" s="291"/>
      <c r="Q9" s="732"/>
      <c r="R9" s="549">
        <f t="shared" ref="R9:R81" si="0">(H9+I9+J9+K9+M9+L9+N9+O9+P9+Q9)*1</f>
        <v>0</v>
      </c>
      <c r="S9" s="299">
        <f>(H9+I9+J9+K9+L9+M9+N9+O9+P9+Q9)*G9</f>
        <v>0</v>
      </c>
    </row>
    <row r="10" spans="2:20" ht="18" customHeight="1" thickTop="1" thickBot="1" x14ac:dyDescent="0.4">
      <c r="B10" s="457">
        <v>2002</v>
      </c>
      <c r="C10" s="475" t="s">
        <v>265</v>
      </c>
      <c r="D10" s="733"/>
      <c r="E10" s="551"/>
      <c r="F10" s="458">
        <v>1</v>
      </c>
      <c r="G10" s="734">
        <v>160</v>
      </c>
      <c r="H10" s="735"/>
      <c r="I10" s="306"/>
      <c r="J10" s="307"/>
      <c r="K10" s="308"/>
      <c r="L10" s="309"/>
      <c r="M10" s="310"/>
      <c r="N10" s="311"/>
      <c r="O10" s="314"/>
      <c r="P10" s="315"/>
      <c r="Q10" s="736"/>
      <c r="R10" s="549">
        <f t="shared" si="0"/>
        <v>0</v>
      </c>
      <c r="S10" s="299">
        <f>(H10+I10+J10+K10+L10+M10+N10+O10+P10+Q10)*G10</f>
        <v>0</v>
      </c>
    </row>
    <row r="11" spans="2:20" ht="18" customHeight="1" thickTop="1" thickBot="1" x14ac:dyDescent="0.4">
      <c r="B11" s="737">
        <v>2003</v>
      </c>
      <c r="C11" s="323" t="s">
        <v>266</v>
      </c>
      <c r="D11" s="738"/>
      <c r="E11" s="739"/>
      <c r="F11" s="740">
        <v>1</v>
      </c>
      <c r="G11" s="741">
        <v>160</v>
      </c>
      <c r="H11" s="742"/>
      <c r="I11" s="743"/>
      <c r="J11" s="744"/>
      <c r="K11" s="745"/>
      <c r="L11" s="746"/>
      <c r="M11" s="747"/>
      <c r="N11" s="748"/>
      <c r="O11" s="749"/>
      <c r="P11" s="750"/>
      <c r="Q11" s="751"/>
      <c r="R11" s="549">
        <f t="shared" si="0"/>
        <v>0</v>
      </c>
      <c r="S11" s="299">
        <f t="shared" ref="S11:S82" si="1">(H11+I11+J11+K11+L11+M11+N11+O11+P11+Q11)*G11</f>
        <v>0</v>
      </c>
    </row>
    <row r="12" spans="2:20" ht="18" customHeight="1" thickTop="1" thickBot="1" x14ac:dyDescent="0.4">
      <c r="B12" s="752">
        <v>2004</v>
      </c>
      <c r="C12" s="753" t="s">
        <v>267</v>
      </c>
      <c r="D12" s="566"/>
      <c r="E12" s="754"/>
      <c r="F12" s="755">
        <v>1</v>
      </c>
      <c r="G12" s="756">
        <v>160</v>
      </c>
      <c r="H12" s="757"/>
      <c r="I12" s="758"/>
      <c r="J12" s="759"/>
      <c r="K12" s="760"/>
      <c r="L12" s="761"/>
      <c r="M12" s="762"/>
      <c r="N12" s="763"/>
      <c r="O12" s="764"/>
      <c r="P12" s="765"/>
      <c r="Q12" s="766"/>
      <c r="R12" s="549">
        <f t="shared" si="0"/>
        <v>0</v>
      </c>
      <c r="S12" s="299">
        <f t="shared" si="1"/>
        <v>0</v>
      </c>
    </row>
    <row r="13" spans="2:20" ht="18" customHeight="1" thickTop="1" thickBot="1" x14ac:dyDescent="0.4">
      <c r="B13" s="300">
        <v>2005</v>
      </c>
      <c r="C13" s="345" t="s">
        <v>268</v>
      </c>
      <c r="D13" s="767"/>
      <c r="E13" s="551"/>
      <c r="F13" s="303">
        <v>1</v>
      </c>
      <c r="G13" s="346">
        <v>160</v>
      </c>
      <c r="H13" s="305"/>
      <c r="I13" s="306"/>
      <c r="J13" s="307"/>
      <c r="K13" s="308"/>
      <c r="L13" s="309"/>
      <c r="M13" s="310"/>
      <c r="N13" s="311"/>
      <c r="O13" s="314"/>
      <c r="P13" s="315"/>
      <c r="Q13" s="736"/>
      <c r="R13" s="549">
        <f t="shared" si="0"/>
        <v>0</v>
      </c>
      <c r="S13" s="299">
        <f t="shared" si="1"/>
        <v>0</v>
      </c>
    </row>
    <row r="14" spans="2:20" ht="18" customHeight="1" thickTop="1" thickBot="1" x14ac:dyDescent="0.4">
      <c r="B14" s="322">
        <v>2006</v>
      </c>
      <c r="C14" s="323" t="s">
        <v>269</v>
      </c>
      <c r="D14" s="738"/>
      <c r="E14" s="559"/>
      <c r="F14" s="325">
        <v>1</v>
      </c>
      <c r="G14" s="326">
        <v>160</v>
      </c>
      <c r="H14" s="327"/>
      <c r="I14" s="328"/>
      <c r="J14" s="329"/>
      <c r="K14" s="330"/>
      <c r="L14" s="331"/>
      <c r="M14" s="332"/>
      <c r="N14" s="333"/>
      <c r="O14" s="336"/>
      <c r="P14" s="337"/>
      <c r="Q14" s="768"/>
      <c r="R14" s="549">
        <f t="shared" si="0"/>
        <v>0</v>
      </c>
      <c r="S14" s="299">
        <f t="shared" si="1"/>
        <v>0</v>
      </c>
    </row>
    <row r="15" spans="2:20" ht="18" customHeight="1" thickTop="1" thickBot="1" x14ac:dyDescent="0.4">
      <c r="B15" s="457">
        <v>2007</v>
      </c>
      <c r="C15" s="345" t="s">
        <v>270</v>
      </c>
      <c r="D15" s="566"/>
      <c r="E15" s="551"/>
      <c r="F15" s="458">
        <v>1</v>
      </c>
      <c r="G15" s="769">
        <v>160</v>
      </c>
      <c r="H15" s="735"/>
      <c r="I15" s="306"/>
      <c r="J15" s="307"/>
      <c r="K15" s="308"/>
      <c r="L15" s="309"/>
      <c r="M15" s="310"/>
      <c r="N15" s="311"/>
      <c r="O15" s="314"/>
      <c r="P15" s="315"/>
      <c r="Q15" s="736"/>
      <c r="R15" s="549">
        <f t="shared" si="0"/>
        <v>0</v>
      </c>
      <c r="S15" s="299">
        <f t="shared" si="1"/>
        <v>0</v>
      </c>
    </row>
    <row r="16" spans="2:20" ht="18" customHeight="1" thickTop="1" thickBot="1" x14ac:dyDescent="0.4">
      <c r="B16" s="457">
        <v>2008</v>
      </c>
      <c r="C16" s="345" t="s">
        <v>271</v>
      </c>
      <c r="D16" s="550"/>
      <c r="E16" s="551"/>
      <c r="F16" s="458">
        <v>1</v>
      </c>
      <c r="G16" s="769">
        <v>160</v>
      </c>
      <c r="H16" s="735"/>
      <c r="I16" s="306"/>
      <c r="J16" s="307"/>
      <c r="K16" s="308"/>
      <c r="L16" s="309"/>
      <c r="M16" s="310"/>
      <c r="N16" s="311"/>
      <c r="O16" s="314"/>
      <c r="P16" s="315"/>
      <c r="Q16" s="736"/>
      <c r="R16" s="549">
        <f t="shared" si="0"/>
        <v>0</v>
      </c>
      <c r="S16" s="299">
        <f t="shared" si="1"/>
        <v>0</v>
      </c>
    </row>
    <row r="17" spans="2:19" ht="18" customHeight="1" thickTop="1" thickBot="1" x14ac:dyDescent="0.4">
      <c r="B17" s="737">
        <v>2009</v>
      </c>
      <c r="C17" s="770" t="s">
        <v>272</v>
      </c>
      <c r="D17" s="771"/>
      <c r="E17" s="739"/>
      <c r="F17" s="740">
        <v>1</v>
      </c>
      <c r="G17" s="741">
        <v>160</v>
      </c>
      <c r="H17" s="742"/>
      <c r="I17" s="743"/>
      <c r="J17" s="744"/>
      <c r="K17" s="745"/>
      <c r="L17" s="746"/>
      <c r="M17" s="747"/>
      <c r="N17" s="748"/>
      <c r="O17" s="749"/>
      <c r="P17" s="750"/>
      <c r="Q17" s="751"/>
      <c r="R17" s="549">
        <f t="shared" si="0"/>
        <v>0</v>
      </c>
      <c r="S17" s="299">
        <f t="shared" si="1"/>
        <v>0</v>
      </c>
    </row>
    <row r="18" spans="2:19" ht="18" customHeight="1" thickTop="1" thickBot="1" x14ac:dyDescent="0.4">
      <c r="B18" s="457">
        <v>2010</v>
      </c>
      <c r="C18" s="345" t="s">
        <v>273</v>
      </c>
      <c r="D18" s="767"/>
      <c r="E18" s="551"/>
      <c r="F18" s="458">
        <v>1</v>
      </c>
      <c r="G18" s="769">
        <v>160</v>
      </c>
      <c r="H18" s="735"/>
      <c r="I18" s="306"/>
      <c r="J18" s="307"/>
      <c r="K18" s="308"/>
      <c r="L18" s="309"/>
      <c r="M18" s="310"/>
      <c r="N18" s="311"/>
      <c r="O18" s="314"/>
      <c r="P18" s="315"/>
      <c r="Q18" s="736"/>
      <c r="R18" s="549">
        <f t="shared" si="0"/>
        <v>0</v>
      </c>
      <c r="S18" s="299">
        <f t="shared" si="1"/>
        <v>0</v>
      </c>
    </row>
    <row r="19" spans="2:19" ht="18" customHeight="1" thickTop="1" thickBot="1" x14ac:dyDescent="0.4">
      <c r="B19" s="772">
        <v>2011</v>
      </c>
      <c r="C19" s="773" t="s">
        <v>274</v>
      </c>
      <c r="D19" s="774"/>
      <c r="E19" s="775"/>
      <c r="F19" s="776">
        <v>1</v>
      </c>
      <c r="G19" s="734">
        <v>160</v>
      </c>
      <c r="H19" s="777"/>
      <c r="I19" s="778"/>
      <c r="J19" s="779"/>
      <c r="K19" s="780"/>
      <c r="L19" s="781"/>
      <c r="M19" s="782"/>
      <c r="N19" s="783"/>
      <c r="O19" s="784"/>
      <c r="P19" s="785"/>
      <c r="Q19" s="786"/>
      <c r="R19" s="549">
        <f t="shared" si="0"/>
        <v>0</v>
      </c>
      <c r="S19" s="299">
        <f t="shared" si="1"/>
        <v>0</v>
      </c>
    </row>
    <row r="20" spans="2:19" ht="18" customHeight="1" thickTop="1" thickBot="1" x14ac:dyDescent="0.4">
      <c r="B20" s="787">
        <v>2012</v>
      </c>
      <c r="C20" s="788" t="s">
        <v>275</v>
      </c>
      <c r="D20" s="771"/>
      <c r="E20" s="789"/>
      <c r="F20" s="790">
        <v>1</v>
      </c>
      <c r="G20" s="791">
        <v>200</v>
      </c>
      <c r="H20" s="792"/>
      <c r="I20" s="793"/>
      <c r="J20" s="794"/>
      <c r="K20" s="795"/>
      <c r="L20" s="796"/>
      <c r="M20" s="797"/>
      <c r="N20" s="798"/>
      <c r="O20" s="799"/>
      <c r="P20" s="800"/>
      <c r="Q20" s="801"/>
      <c r="R20" s="549">
        <f t="shared" si="0"/>
        <v>0</v>
      </c>
      <c r="S20" s="299">
        <f t="shared" si="1"/>
        <v>0</v>
      </c>
    </row>
    <row r="21" spans="2:19" ht="18" customHeight="1" thickTop="1" thickBot="1" x14ac:dyDescent="0.4">
      <c r="B21" s="457">
        <v>2013</v>
      </c>
      <c r="C21" s="475" t="s">
        <v>276</v>
      </c>
      <c r="D21" s="767"/>
      <c r="E21" s="551"/>
      <c r="F21" s="458">
        <v>1</v>
      </c>
      <c r="G21" s="769">
        <v>200</v>
      </c>
      <c r="H21" s="595"/>
      <c r="I21" s="306"/>
      <c r="J21" s="307"/>
      <c r="K21" s="308"/>
      <c r="L21" s="309"/>
      <c r="M21" s="310"/>
      <c r="N21" s="311"/>
      <c r="O21" s="314"/>
      <c r="P21" s="315"/>
      <c r="Q21" s="736"/>
      <c r="R21" s="549">
        <f t="shared" si="0"/>
        <v>0</v>
      </c>
      <c r="S21" s="299">
        <f t="shared" si="1"/>
        <v>0</v>
      </c>
    </row>
    <row r="22" spans="2:19" ht="18" customHeight="1" thickTop="1" thickBot="1" x14ac:dyDescent="0.4">
      <c r="B22" s="772">
        <v>2014</v>
      </c>
      <c r="C22" s="773" t="s">
        <v>277</v>
      </c>
      <c r="D22" s="774"/>
      <c r="E22" s="775"/>
      <c r="F22" s="776">
        <v>1</v>
      </c>
      <c r="G22" s="734">
        <v>200</v>
      </c>
      <c r="H22" s="802"/>
      <c r="I22" s="778"/>
      <c r="J22" s="779"/>
      <c r="K22" s="780"/>
      <c r="L22" s="781"/>
      <c r="M22" s="782"/>
      <c r="N22" s="783"/>
      <c r="O22" s="784"/>
      <c r="P22" s="785"/>
      <c r="Q22" s="786"/>
      <c r="R22" s="549">
        <f t="shared" si="0"/>
        <v>0</v>
      </c>
      <c r="S22" s="299">
        <f t="shared" si="1"/>
        <v>0</v>
      </c>
    </row>
    <row r="23" spans="2:19" ht="18" customHeight="1" thickTop="1" thickBot="1" x14ac:dyDescent="0.4">
      <c r="B23" s="787">
        <v>2015</v>
      </c>
      <c r="C23" s="788" t="s">
        <v>278</v>
      </c>
      <c r="D23" s="771"/>
      <c r="E23" s="789"/>
      <c r="F23" s="790">
        <v>1</v>
      </c>
      <c r="G23" s="791">
        <v>200</v>
      </c>
      <c r="H23" s="803"/>
      <c r="I23" s="793"/>
      <c r="J23" s="794"/>
      <c r="K23" s="795"/>
      <c r="L23" s="796"/>
      <c r="M23" s="797"/>
      <c r="N23" s="798"/>
      <c r="O23" s="799"/>
      <c r="P23" s="800"/>
      <c r="Q23" s="801"/>
      <c r="R23" s="549">
        <f t="shared" si="0"/>
        <v>0</v>
      </c>
      <c r="S23" s="299">
        <f t="shared" si="1"/>
        <v>0</v>
      </c>
    </row>
    <row r="24" spans="2:19" ht="18" customHeight="1" thickTop="1" thickBot="1" x14ac:dyDescent="0.4">
      <c r="B24" s="457">
        <v>2016</v>
      </c>
      <c r="C24" s="345" t="s">
        <v>279</v>
      </c>
      <c r="D24" s="767"/>
      <c r="E24" s="551"/>
      <c r="F24" s="458">
        <v>1</v>
      </c>
      <c r="G24" s="769">
        <v>240</v>
      </c>
      <c r="H24" s="735"/>
      <c r="I24" s="306"/>
      <c r="J24" s="307"/>
      <c r="K24" s="308"/>
      <c r="L24" s="309"/>
      <c r="M24" s="310"/>
      <c r="N24" s="311"/>
      <c r="O24" s="314"/>
      <c r="P24" s="315"/>
      <c r="Q24" s="736"/>
      <c r="R24" s="549">
        <f t="shared" si="0"/>
        <v>0</v>
      </c>
      <c r="S24" s="299">
        <f t="shared" si="1"/>
        <v>0</v>
      </c>
    </row>
    <row r="25" spans="2:19" ht="18" customHeight="1" thickTop="1" thickBot="1" x14ac:dyDescent="0.4">
      <c r="B25" s="772">
        <v>2017</v>
      </c>
      <c r="C25" s="773" t="s">
        <v>280</v>
      </c>
      <c r="D25" s="774"/>
      <c r="E25" s="775"/>
      <c r="F25" s="776">
        <v>1</v>
      </c>
      <c r="G25" s="734">
        <v>240</v>
      </c>
      <c r="H25" s="777"/>
      <c r="I25" s="778"/>
      <c r="J25" s="779"/>
      <c r="K25" s="780"/>
      <c r="L25" s="781"/>
      <c r="M25" s="782"/>
      <c r="N25" s="783"/>
      <c r="O25" s="784"/>
      <c r="P25" s="785"/>
      <c r="Q25" s="786"/>
      <c r="R25" s="549">
        <f t="shared" si="0"/>
        <v>0</v>
      </c>
      <c r="S25" s="299">
        <f t="shared" si="1"/>
        <v>0</v>
      </c>
    </row>
    <row r="26" spans="2:19" ht="18" customHeight="1" thickTop="1" thickBot="1" x14ac:dyDescent="0.4">
      <c r="B26" s="787">
        <v>2018</v>
      </c>
      <c r="C26" s="788" t="s">
        <v>281</v>
      </c>
      <c r="D26" s="771"/>
      <c r="E26" s="789"/>
      <c r="F26" s="790">
        <v>1</v>
      </c>
      <c r="G26" s="791">
        <v>240</v>
      </c>
      <c r="H26" s="803"/>
      <c r="I26" s="793"/>
      <c r="J26" s="794"/>
      <c r="K26" s="795"/>
      <c r="L26" s="796"/>
      <c r="M26" s="797"/>
      <c r="N26" s="798"/>
      <c r="O26" s="799"/>
      <c r="P26" s="800"/>
      <c r="Q26" s="801"/>
      <c r="R26" s="549">
        <f t="shared" si="0"/>
        <v>0</v>
      </c>
      <c r="S26" s="299">
        <f t="shared" si="1"/>
        <v>0</v>
      </c>
    </row>
    <row r="27" spans="2:19" ht="18" customHeight="1" thickTop="1" thickBot="1" x14ac:dyDescent="0.4">
      <c r="B27" s="457">
        <v>2019</v>
      </c>
      <c r="C27" s="345" t="s">
        <v>282</v>
      </c>
      <c r="D27" s="767"/>
      <c r="E27" s="551"/>
      <c r="F27" s="458">
        <v>1</v>
      </c>
      <c r="G27" s="769">
        <v>240</v>
      </c>
      <c r="H27" s="735"/>
      <c r="I27" s="306"/>
      <c r="J27" s="307"/>
      <c r="K27" s="308"/>
      <c r="L27" s="309"/>
      <c r="M27" s="310"/>
      <c r="N27" s="311"/>
      <c r="O27" s="314"/>
      <c r="P27" s="315"/>
      <c r="Q27" s="736"/>
      <c r="R27" s="549">
        <f t="shared" si="0"/>
        <v>0</v>
      </c>
      <c r="S27" s="299">
        <f t="shared" si="1"/>
        <v>0</v>
      </c>
    </row>
    <row r="28" spans="2:19" ht="18" customHeight="1" thickTop="1" thickBot="1" x14ac:dyDescent="0.4">
      <c r="B28" s="772">
        <v>2020</v>
      </c>
      <c r="C28" s="773" t="s">
        <v>283</v>
      </c>
      <c r="D28" s="774"/>
      <c r="E28" s="775"/>
      <c r="F28" s="776">
        <v>1</v>
      </c>
      <c r="G28" s="734">
        <v>240</v>
      </c>
      <c r="H28" s="777"/>
      <c r="I28" s="778"/>
      <c r="J28" s="779"/>
      <c r="K28" s="780"/>
      <c r="L28" s="781"/>
      <c r="M28" s="782"/>
      <c r="N28" s="783"/>
      <c r="O28" s="784"/>
      <c r="P28" s="785"/>
      <c r="Q28" s="786"/>
      <c r="R28" s="549">
        <f t="shared" si="0"/>
        <v>0</v>
      </c>
      <c r="S28" s="299">
        <f t="shared" si="1"/>
        <v>0</v>
      </c>
    </row>
    <row r="29" spans="2:19" ht="18" customHeight="1" thickTop="1" thickBot="1" x14ac:dyDescent="0.4">
      <c r="B29" s="787">
        <v>2021</v>
      </c>
      <c r="C29" s="788" t="s">
        <v>284</v>
      </c>
      <c r="D29" s="771"/>
      <c r="E29" s="789"/>
      <c r="F29" s="790">
        <v>1</v>
      </c>
      <c r="G29" s="791">
        <v>240</v>
      </c>
      <c r="H29" s="803"/>
      <c r="I29" s="793"/>
      <c r="J29" s="794"/>
      <c r="K29" s="795"/>
      <c r="L29" s="796"/>
      <c r="M29" s="797"/>
      <c r="N29" s="798"/>
      <c r="O29" s="799"/>
      <c r="P29" s="800"/>
      <c r="Q29" s="801"/>
      <c r="R29" s="549">
        <f t="shared" si="0"/>
        <v>0</v>
      </c>
      <c r="S29" s="299">
        <f t="shared" si="1"/>
        <v>0</v>
      </c>
    </row>
    <row r="30" spans="2:19" ht="18" customHeight="1" thickTop="1" thickBot="1" x14ac:dyDescent="0.4">
      <c r="B30" s="457">
        <v>2022</v>
      </c>
      <c r="C30" s="345" t="s">
        <v>285</v>
      </c>
      <c r="D30" s="767"/>
      <c r="E30" s="551"/>
      <c r="F30" s="458">
        <v>1</v>
      </c>
      <c r="G30" s="769">
        <v>440</v>
      </c>
      <c r="H30" s="735"/>
      <c r="I30" s="306"/>
      <c r="J30" s="307"/>
      <c r="K30" s="308"/>
      <c r="L30" s="309"/>
      <c r="M30" s="310"/>
      <c r="N30" s="311"/>
      <c r="O30" s="314"/>
      <c r="P30" s="315"/>
      <c r="Q30" s="736"/>
      <c r="R30" s="549">
        <f t="shared" si="0"/>
        <v>0</v>
      </c>
      <c r="S30" s="299">
        <f t="shared" si="1"/>
        <v>0</v>
      </c>
    </row>
    <row r="31" spans="2:19" ht="18" customHeight="1" thickTop="1" thickBot="1" x14ac:dyDescent="0.4">
      <c r="B31" s="772">
        <v>2023</v>
      </c>
      <c r="C31" s="773" t="s">
        <v>286</v>
      </c>
      <c r="D31" s="774"/>
      <c r="E31" s="775"/>
      <c r="F31" s="776">
        <v>1</v>
      </c>
      <c r="G31" s="734">
        <v>440</v>
      </c>
      <c r="H31" s="777"/>
      <c r="I31" s="778"/>
      <c r="J31" s="779"/>
      <c r="K31" s="780"/>
      <c r="L31" s="781"/>
      <c r="M31" s="782"/>
      <c r="N31" s="783"/>
      <c r="O31" s="784"/>
      <c r="P31" s="785"/>
      <c r="Q31" s="786"/>
      <c r="R31" s="549">
        <f t="shared" si="0"/>
        <v>0</v>
      </c>
      <c r="S31" s="299">
        <f t="shared" si="1"/>
        <v>0</v>
      </c>
    </row>
    <row r="32" spans="2:19" ht="18" customHeight="1" thickTop="1" thickBot="1" x14ac:dyDescent="0.4">
      <c r="B32" s="804">
        <v>2024</v>
      </c>
      <c r="C32" s="409" t="s">
        <v>287</v>
      </c>
      <c r="D32" s="805"/>
      <c r="E32" s="806"/>
      <c r="F32" s="807">
        <v>23</v>
      </c>
      <c r="G32" s="808">
        <v>4800</v>
      </c>
      <c r="H32" s="809"/>
      <c r="I32" s="580"/>
      <c r="J32" s="810"/>
      <c r="K32" s="811"/>
      <c r="L32" s="812"/>
      <c r="M32" s="813"/>
      <c r="N32" s="585"/>
      <c r="O32" s="814"/>
      <c r="P32" s="815"/>
      <c r="Q32" s="816"/>
      <c r="R32" s="588">
        <f>(H32+I32+J32+K32+M32+L32+N32+O32+P32+Q32)*23</f>
        <v>0</v>
      </c>
      <c r="S32" s="400">
        <f t="shared" si="1"/>
        <v>0</v>
      </c>
    </row>
    <row r="33" spans="2:19" ht="8" customHeight="1" thickTop="1" thickBot="1" x14ac:dyDescent="0.5">
      <c r="B33" s="96"/>
      <c r="C33" s="97"/>
      <c r="D33" s="98"/>
      <c r="E33" s="96"/>
      <c r="F33" s="99"/>
      <c r="G33" s="100"/>
      <c r="H33" s="78"/>
      <c r="I33" s="79"/>
      <c r="J33" s="101"/>
      <c r="K33" s="81"/>
      <c r="L33" s="82"/>
      <c r="M33" s="83"/>
      <c r="N33" s="84"/>
      <c r="O33" s="85"/>
      <c r="P33" s="86"/>
      <c r="Q33" s="102"/>
      <c r="R33" s="87"/>
      <c r="S33" s="95"/>
    </row>
    <row r="34" spans="2:19" ht="18" customHeight="1" thickTop="1" thickBot="1" x14ac:dyDescent="0.4">
      <c r="B34" s="817">
        <v>2031</v>
      </c>
      <c r="C34" s="818" t="s">
        <v>288</v>
      </c>
      <c r="D34" s="819"/>
      <c r="E34" s="820"/>
      <c r="F34" s="821">
        <v>1</v>
      </c>
      <c r="G34" s="822">
        <v>150</v>
      </c>
      <c r="H34" s="595"/>
      <c r="I34" s="306"/>
      <c r="J34" s="307"/>
      <c r="K34" s="308"/>
      <c r="L34" s="309"/>
      <c r="M34" s="310"/>
      <c r="N34" s="311"/>
      <c r="O34" s="314"/>
      <c r="P34" s="315"/>
      <c r="Q34" s="736"/>
      <c r="R34" s="596">
        <f t="shared" si="0"/>
        <v>0</v>
      </c>
      <c r="S34" s="597">
        <f t="shared" si="1"/>
        <v>0</v>
      </c>
    </row>
    <row r="35" spans="2:19" ht="18" customHeight="1" thickTop="1" thickBot="1" x14ac:dyDescent="0.4">
      <c r="B35" s="817">
        <v>2032</v>
      </c>
      <c r="C35" s="823" t="s">
        <v>289</v>
      </c>
      <c r="D35" s="824"/>
      <c r="E35" s="820"/>
      <c r="F35" s="821">
        <v>1</v>
      </c>
      <c r="G35" s="825">
        <v>150</v>
      </c>
      <c r="H35" s="735"/>
      <c r="I35" s="306"/>
      <c r="J35" s="307"/>
      <c r="K35" s="308"/>
      <c r="L35" s="309"/>
      <c r="M35" s="310"/>
      <c r="N35" s="311"/>
      <c r="O35" s="314"/>
      <c r="P35" s="315"/>
      <c r="Q35" s="736"/>
      <c r="R35" s="549">
        <f t="shared" si="0"/>
        <v>0</v>
      </c>
      <c r="S35" s="299">
        <f t="shared" si="1"/>
        <v>0</v>
      </c>
    </row>
    <row r="36" spans="2:19" ht="18" customHeight="1" thickTop="1" thickBot="1" x14ac:dyDescent="0.4">
      <c r="B36" s="826">
        <v>2033</v>
      </c>
      <c r="C36" s="827" t="s">
        <v>290</v>
      </c>
      <c r="D36" s="828"/>
      <c r="E36" s="829"/>
      <c r="F36" s="830">
        <v>1</v>
      </c>
      <c r="G36" s="831">
        <v>150</v>
      </c>
      <c r="H36" s="742"/>
      <c r="I36" s="743"/>
      <c r="J36" s="744"/>
      <c r="K36" s="745"/>
      <c r="L36" s="746"/>
      <c r="M36" s="747"/>
      <c r="N36" s="748"/>
      <c r="O36" s="749"/>
      <c r="P36" s="750"/>
      <c r="Q36" s="751"/>
      <c r="R36" s="549">
        <f>(H36+I36+J36+K36+M36+L36+N36+O36+P36+Q36)*1</f>
        <v>0</v>
      </c>
      <c r="S36" s="299">
        <f t="shared" si="1"/>
        <v>0</v>
      </c>
    </row>
    <row r="37" spans="2:19" ht="18" customHeight="1" thickTop="1" thickBot="1" x14ac:dyDescent="0.4">
      <c r="B37" s="832">
        <v>2034</v>
      </c>
      <c r="C37" s="818" t="s">
        <v>291</v>
      </c>
      <c r="D37" s="591"/>
      <c r="E37" s="833"/>
      <c r="F37" s="834">
        <v>1</v>
      </c>
      <c r="G37" s="835">
        <v>150</v>
      </c>
      <c r="H37" s="836"/>
      <c r="I37" s="758"/>
      <c r="J37" s="759"/>
      <c r="K37" s="760"/>
      <c r="L37" s="761"/>
      <c r="M37" s="762"/>
      <c r="N37" s="763"/>
      <c r="O37" s="764"/>
      <c r="P37" s="765"/>
      <c r="Q37" s="766"/>
      <c r="R37" s="549">
        <f t="shared" si="0"/>
        <v>0</v>
      </c>
      <c r="S37" s="299">
        <f t="shared" si="1"/>
        <v>0</v>
      </c>
    </row>
    <row r="38" spans="2:19" ht="18" customHeight="1" thickTop="1" thickBot="1" x14ac:dyDescent="0.4">
      <c r="B38" s="817">
        <v>2035</v>
      </c>
      <c r="C38" s="837" t="s">
        <v>292</v>
      </c>
      <c r="D38" s="819"/>
      <c r="E38" s="820"/>
      <c r="F38" s="821">
        <v>1</v>
      </c>
      <c r="G38" s="822">
        <v>150</v>
      </c>
      <c r="H38" s="305"/>
      <c r="I38" s="306"/>
      <c r="J38" s="307"/>
      <c r="K38" s="308"/>
      <c r="L38" s="309"/>
      <c r="M38" s="310"/>
      <c r="N38" s="311"/>
      <c r="O38" s="314"/>
      <c r="P38" s="315"/>
      <c r="Q38" s="736"/>
      <c r="R38" s="549">
        <f t="shared" si="0"/>
        <v>0</v>
      </c>
      <c r="S38" s="299">
        <f t="shared" si="1"/>
        <v>0</v>
      </c>
    </row>
    <row r="39" spans="2:19" ht="18" customHeight="1" thickTop="1" thickBot="1" x14ac:dyDescent="0.4">
      <c r="B39" s="826">
        <v>2036</v>
      </c>
      <c r="C39" s="838" t="s">
        <v>293</v>
      </c>
      <c r="D39" s="839"/>
      <c r="E39" s="829"/>
      <c r="F39" s="830">
        <v>1</v>
      </c>
      <c r="G39" s="831">
        <v>150</v>
      </c>
      <c r="H39" s="742"/>
      <c r="I39" s="743"/>
      <c r="J39" s="744"/>
      <c r="K39" s="745"/>
      <c r="L39" s="746"/>
      <c r="M39" s="747"/>
      <c r="N39" s="748"/>
      <c r="O39" s="749"/>
      <c r="P39" s="750"/>
      <c r="Q39" s="751"/>
      <c r="R39" s="549">
        <f t="shared" si="0"/>
        <v>0</v>
      </c>
      <c r="S39" s="299">
        <f t="shared" si="1"/>
        <v>0</v>
      </c>
    </row>
    <row r="40" spans="2:19" ht="18" customHeight="1" thickTop="1" thickBot="1" x14ac:dyDescent="0.4">
      <c r="B40" s="817">
        <v>2037</v>
      </c>
      <c r="C40" s="837" t="s">
        <v>294</v>
      </c>
      <c r="D40" s="840"/>
      <c r="E40" s="820"/>
      <c r="F40" s="821">
        <v>1</v>
      </c>
      <c r="G40" s="822">
        <v>150</v>
      </c>
      <c r="H40" s="735"/>
      <c r="I40" s="306"/>
      <c r="J40" s="307"/>
      <c r="K40" s="308"/>
      <c r="L40" s="309"/>
      <c r="M40" s="310"/>
      <c r="N40" s="311"/>
      <c r="O40" s="314"/>
      <c r="P40" s="315"/>
      <c r="Q40" s="736"/>
      <c r="R40" s="549">
        <f t="shared" si="0"/>
        <v>0</v>
      </c>
      <c r="S40" s="299">
        <f t="shared" si="1"/>
        <v>0</v>
      </c>
    </row>
    <row r="41" spans="2:19" ht="18" customHeight="1" thickTop="1" thickBot="1" x14ac:dyDescent="0.4">
      <c r="B41" s="817">
        <v>2038</v>
      </c>
      <c r="C41" s="837" t="s">
        <v>295</v>
      </c>
      <c r="D41" s="687"/>
      <c r="E41" s="820"/>
      <c r="F41" s="821">
        <v>1</v>
      </c>
      <c r="G41" s="822">
        <v>150</v>
      </c>
      <c r="H41" s="735"/>
      <c r="I41" s="306"/>
      <c r="J41" s="307"/>
      <c r="K41" s="308"/>
      <c r="L41" s="309"/>
      <c r="M41" s="310"/>
      <c r="N41" s="311"/>
      <c r="O41" s="314"/>
      <c r="P41" s="315"/>
      <c r="Q41" s="736"/>
      <c r="R41" s="549">
        <f t="shared" si="0"/>
        <v>0</v>
      </c>
      <c r="S41" s="299">
        <f t="shared" si="1"/>
        <v>0</v>
      </c>
    </row>
    <row r="42" spans="2:19" ht="18" customHeight="1" thickTop="1" thickBot="1" x14ac:dyDescent="0.4">
      <c r="B42" s="826">
        <v>2039</v>
      </c>
      <c r="C42" s="838" t="s">
        <v>296</v>
      </c>
      <c r="D42" s="839"/>
      <c r="E42" s="829"/>
      <c r="F42" s="830">
        <v>1</v>
      </c>
      <c r="G42" s="831">
        <v>150</v>
      </c>
      <c r="H42" s="742"/>
      <c r="I42" s="743"/>
      <c r="J42" s="744"/>
      <c r="K42" s="745"/>
      <c r="L42" s="746"/>
      <c r="M42" s="747"/>
      <c r="N42" s="748"/>
      <c r="O42" s="749"/>
      <c r="P42" s="750"/>
      <c r="Q42" s="751"/>
      <c r="R42" s="549">
        <f t="shared" si="0"/>
        <v>0</v>
      </c>
      <c r="S42" s="299">
        <f t="shared" si="1"/>
        <v>0</v>
      </c>
    </row>
    <row r="43" spans="2:19" ht="18" customHeight="1" thickTop="1" thickBot="1" x14ac:dyDescent="0.4">
      <c r="B43" s="817">
        <v>2040</v>
      </c>
      <c r="C43" s="837" t="s">
        <v>297</v>
      </c>
      <c r="D43" s="819"/>
      <c r="E43" s="820"/>
      <c r="F43" s="821">
        <v>1</v>
      </c>
      <c r="G43" s="822">
        <v>150</v>
      </c>
      <c r="H43" s="735"/>
      <c r="I43" s="306"/>
      <c r="J43" s="307"/>
      <c r="K43" s="308"/>
      <c r="L43" s="309"/>
      <c r="M43" s="310"/>
      <c r="N43" s="311"/>
      <c r="O43" s="314"/>
      <c r="P43" s="315"/>
      <c r="Q43" s="736"/>
      <c r="R43" s="549">
        <f t="shared" si="0"/>
        <v>0</v>
      </c>
      <c r="S43" s="299">
        <f t="shared" si="1"/>
        <v>0</v>
      </c>
    </row>
    <row r="44" spans="2:19" ht="18" customHeight="1" thickTop="1" thickBot="1" x14ac:dyDescent="0.4">
      <c r="B44" s="841">
        <v>2041</v>
      </c>
      <c r="C44" s="842" t="s">
        <v>298</v>
      </c>
      <c r="D44" s="843"/>
      <c r="E44" s="844"/>
      <c r="F44" s="845">
        <v>1</v>
      </c>
      <c r="G44" s="825">
        <v>150</v>
      </c>
      <c r="H44" s="777"/>
      <c r="I44" s="778"/>
      <c r="J44" s="779"/>
      <c r="K44" s="780"/>
      <c r="L44" s="781"/>
      <c r="M44" s="782"/>
      <c r="N44" s="783"/>
      <c r="O44" s="784"/>
      <c r="P44" s="785"/>
      <c r="Q44" s="786"/>
      <c r="R44" s="549">
        <f t="shared" si="0"/>
        <v>0</v>
      </c>
      <c r="S44" s="299">
        <f t="shared" si="1"/>
        <v>0</v>
      </c>
    </row>
    <row r="45" spans="2:19" ht="18" customHeight="1" thickTop="1" thickBot="1" x14ac:dyDescent="0.4">
      <c r="B45" s="826">
        <v>2042</v>
      </c>
      <c r="C45" s="838" t="s">
        <v>299</v>
      </c>
      <c r="D45" s="839"/>
      <c r="E45" s="829"/>
      <c r="F45" s="830">
        <v>1</v>
      </c>
      <c r="G45" s="831">
        <v>170</v>
      </c>
      <c r="H45" s="846"/>
      <c r="I45" s="743"/>
      <c r="J45" s="744"/>
      <c r="K45" s="745"/>
      <c r="L45" s="746"/>
      <c r="M45" s="747"/>
      <c r="N45" s="748"/>
      <c r="O45" s="749"/>
      <c r="P45" s="750"/>
      <c r="Q45" s="751"/>
      <c r="R45" s="549">
        <f t="shared" si="0"/>
        <v>0</v>
      </c>
      <c r="S45" s="299">
        <f t="shared" si="1"/>
        <v>0</v>
      </c>
    </row>
    <row r="46" spans="2:19" ht="18" customHeight="1" thickTop="1" thickBot="1" x14ac:dyDescent="0.4">
      <c r="B46" s="817">
        <v>2043</v>
      </c>
      <c r="C46" s="823" t="s">
        <v>300</v>
      </c>
      <c r="D46" s="819"/>
      <c r="E46" s="820"/>
      <c r="F46" s="821">
        <v>1</v>
      </c>
      <c r="G46" s="822">
        <v>170</v>
      </c>
      <c r="H46" s="595"/>
      <c r="I46" s="306"/>
      <c r="J46" s="307"/>
      <c r="K46" s="308"/>
      <c r="L46" s="309"/>
      <c r="M46" s="310"/>
      <c r="N46" s="311"/>
      <c r="O46" s="314"/>
      <c r="P46" s="315"/>
      <c r="Q46" s="736"/>
      <c r="R46" s="549">
        <f t="shared" si="0"/>
        <v>0</v>
      </c>
      <c r="S46" s="299">
        <f t="shared" si="1"/>
        <v>0</v>
      </c>
    </row>
    <row r="47" spans="2:19" ht="18" customHeight="1" thickTop="1" thickBot="1" x14ac:dyDescent="0.4">
      <c r="B47" s="841">
        <v>2044</v>
      </c>
      <c r="C47" s="842" t="s">
        <v>301</v>
      </c>
      <c r="D47" s="843"/>
      <c r="E47" s="844"/>
      <c r="F47" s="845">
        <v>1</v>
      </c>
      <c r="G47" s="825">
        <v>170</v>
      </c>
      <c r="H47" s="802"/>
      <c r="I47" s="778"/>
      <c r="J47" s="779"/>
      <c r="K47" s="780"/>
      <c r="L47" s="781"/>
      <c r="M47" s="782"/>
      <c r="N47" s="783"/>
      <c r="O47" s="784"/>
      <c r="P47" s="785"/>
      <c r="Q47" s="786"/>
      <c r="R47" s="549">
        <f t="shared" si="0"/>
        <v>0</v>
      </c>
      <c r="S47" s="299">
        <f t="shared" si="1"/>
        <v>0</v>
      </c>
    </row>
    <row r="48" spans="2:19" ht="18" customHeight="1" thickTop="1" thickBot="1" x14ac:dyDescent="0.4">
      <c r="B48" s="826">
        <v>2045</v>
      </c>
      <c r="C48" s="838" t="s">
        <v>302</v>
      </c>
      <c r="D48" s="839"/>
      <c r="E48" s="829"/>
      <c r="F48" s="830">
        <v>1</v>
      </c>
      <c r="G48" s="831">
        <v>170</v>
      </c>
      <c r="H48" s="742"/>
      <c r="I48" s="743"/>
      <c r="J48" s="744"/>
      <c r="K48" s="745"/>
      <c r="L48" s="746"/>
      <c r="M48" s="747"/>
      <c r="N48" s="748"/>
      <c r="O48" s="749"/>
      <c r="P48" s="750"/>
      <c r="Q48" s="751"/>
      <c r="R48" s="549">
        <f t="shared" si="0"/>
        <v>0</v>
      </c>
      <c r="S48" s="299">
        <f t="shared" si="1"/>
        <v>0</v>
      </c>
    </row>
    <row r="49" spans="2:19" ht="18" customHeight="1" thickTop="1" thickBot="1" x14ac:dyDescent="0.4">
      <c r="B49" s="817">
        <v>2046</v>
      </c>
      <c r="C49" s="837" t="s">
        <v>303</v>
      </c>
      <c r="D49" s="819"/>
      <c r="E49" s="820"/>
      <c r="F49" s="821">
        <v>1</v>
      </c>
      <c r="G49" s="822">
        <v>200</v>
      </c>
      <c r="H49" s="735"/>
      <c r="I49" s="306"/>
      <c r="J49" s="307"/>
      <c r="K49" s="308"/>
      <c r="L49" s="309"/>
      <c r="M49" s="310"/>
      <c r="N49" s="311"/>
      <c r="O49" s="314"/>
      <c r="P49" s="315"/>
      <c r="Q49" s="736"/>
      <c r="R49" s="549">
        <f t="shared" si="0"/>
        <v>0</v>
      </c>
      <c r="S49" s="299">
        <f t="shared" si="1"/>
        <v>0</v>
      </c>
    </row>
    <row r="50" spans="2:19" ht="18" customHeight="1" thickTop="1" thickBot="1" x14ac:dyDescent="0.4">
      <c r="B50" s="841">
        <v>2047</v>
      </c>
      <c r="C50" s="842" t="s">
        <v>304</v>
      </c>
      <c r="D50" s="843"/>
      <c r="E50" s="844"/>
      <c r="F50" s="845">
        <v>1</v>
      </c>
      <c r="G50" s="825">
        <v>200</v>
      </c>
      <c r="H50" s="777"/>
      <c r="I50" s="778"/>
      <c r="J50" s="779"/>
      <c r="K50" s="780"/>
      <c r="L50" s="781"/>
      <c r="M50" s="782"/>
      <c r="N50" s="783"/>
      <c r="O50" s="784"/>
      <c r="P50" s="785"/>
      <c r="Q50" s="786"/>
      <c r="R50" s="549">
        <f t="shared" si="0"/>
        <v>0</v>
      </c>
      <c r="S50" s="299">
        <f t="shared" si="1"/>
        <v>0</v>
      </c>
    </row>
    <row r="51" spans="2:19" ht="18" customHeight="1" thickTop="1" thickBot="1" x14ac:dyDescent="0.4">
      <c r="B51" s="826">
        <v>2048</v>
      </c>
      <c r="C51" s="838" t="s">
        <v>305</v>
      </c>
      <c r="D51" s="839"/>
      <c r="E51" s="829"/>
      <c r="F51" s="830">
        <v>1</v>
      </c>
      <c r="G51" s="831">
        <v>200</v>
      </c>
      <c r="H51" s="742"/>
      <c r="I51" s="743"/>
      <c r="J51" s="744"/>
      <c r="K51" s="745"/>
      <c r="L51" s="746"/>
      <c r="M51" s="747"/>
      <c r="N51" s="748"/>
      <c r="O51" s="749"/>
      <c r="P51" s="750"/>
      <c r="Q51" s="751"/>
      <c r="R51" s="549">
        <f t="shared" si="0"/>
        <v>0</v>
      </c>
      <c r="S51" s="299">
        <f t="shared" si="1"/>
        <v>0</v>
      </c>
    </row>
    <row r="52" spans="2:19" ht="18" customHeight="1" thickTop="1" thickBot="1" x14ac:dyDescent="0.4">
      <c r="B52" s="817">
        <v>2049</v>
      </c>
      <c r="C52" s="837" t="s">
        <v>306</v>
      </c>
      <c r="D52" s="819"/>
      <c r="E52" s="820"/>
      <c r="F52" s="821">
        <v>1</v>
      </c>
      <c r="G52" s="822">
        <v>200</v>
      </c>
      <c r="H52" s="735"/>
      <c r="I52" s="306"/>
      <c r="J52" s="307"/>
      <c r="K52" s="308"/>
      <c r="L52" s="309"/>
      <c r="M52" s="310"/>
      <c r="N52" s="311"/>
      <c r="O52" s="314"/>
      <c r="P52" s="315"/>
      <c r="Q52" s="736"/>
      <c r="R52" s="549">
        <f t="shared" si="0"/>
        <v>0</v>
      </c>
      <c r="S52" s="299">
        <f t="shared" si="1"/>
        <v>0</v>
      </c>
    </row>
    <row r="53" spans="2:19" ht="18" customHeight="1" thickTop="1" thickBot="1" x14ac:dyDescent="0.4">
      <c r="B53" s="841">
        <v>2050</v>
      </c>
      <c r="C53" s="842" t="s">
        <v>307</v>
      </c>
      <c r="D53" s="843"/>
      <c r="E53" s="844"/>
      <c r="F53" s="845">
        <v>1</v>
      </c>
      <c r="G53" s="825">
        <v>200</v>
      </c>
      <c r="H53" s="777"/>
      <c r="I53" s="778"/>
      <c r="J53" s="779"/>
      <c r="K53" s="780"/>
      <c r="L53" s="781"/>
      <c r="M53" s="782"/>
      <c r="N53" s="783"/>
      <c r="O53" s="784"/>
      <c r="P53" s="785"/>
      <c r="Q53" s="786"/>
      <c r="R53" s="549">
        <f t="shared" si="0"/>
        <v>0</v>
      </c>
      <c r="S53" s="299">
        <f t="shared" si="1"/>
        <v>0</v>
      </c>
    </row>
    <row r="54" spans="2:19" ht="18" customHeight="1" thickTop="1" thickBot="1" x14ac:dyDescent="0.4">
      <c r="B54" s="826">
        <v>2051</v>
      </c>
      <c r="C54" s="838" t="s">
        <v>308</v>
      </c>
      <c r="D54" s="839"/>
      <c r="E54" s="829"/>
      <c r="F54" s="830">
        <v>1</v>
      </c>
      <c r="G54" s="831">
        <v>200</v>
      </c>
      <c r="H54" s="742"/>
      <c r="I54" s="743"/>
      <c r="J54" s="744"/>
      <c r="K54" s="745"/>
      <c r="L54" s="746"/>
      <c r="M54" s="747"/>
      <c r="N54" s="748"/>
      <c r="O54" s="749"/>
      <c r="P54" s="750"/>
      <c r="Q54" s="751"/>
      <c r="R54" s="549">
        <f t="shared" si="0"/>
        <v>0</v>
      </c>
      <c r="S54" s="299">
        <f t="shared" si="1"/>
        <v>0</v>
      </c>
    </row>
    <row r="55" spans="2:19" ht="18" customHeight="1" thickTop="1" thickBot="1" x14ac:dyDescent="0.4">
      <c r="B55" s="817">
        <v>2052</v>
      </c>
      <c r="C55" s="837" t="s">
        <v>309</v>
      </c>
      <c r="D55" s="819"/>
      <c r="E55" s="820"/>
      <c r="F55" s="821">
        <v>1</v>
      </c>
      <c r="G55" s="822">
        <v>350</v>
      </c>
      <c r="H55" s="735"/>
      <c r="I55" s="306"/>
      <c r="J55" s="307"/>
      <c r="K55" s="308"/>
      <c r="L55" s="309"/>
      <c r="M55" s="310"/>
      <c r="N55" s="311"/>
      <c r="O55" s="314"/>
      <c r="P55" s="315"/>
      <c r="Q55" s="736"/>
      <c r="R55" s="549">
        <f t="shared" si="0"/>
        <v>0</v>
      </c>
      <c r="S55" s="299">
        <f t="shared" si="1"/>
        <v>0</v>
      </c>
    </row>
    <row r="56" spans="2:19" ht="18" customHeight="1" thickTop="1" thickBot="1" x14ac:dyDescent="0.4">
      <c r="B56" s="841">
        <v>2053</v>
      </c>
      <c r="C56" s="842" t="s">
        <v>310</v>
      </c>
      <c r="D56" s="843"/>
      <c r="E56" s="844"/>
      <c r="F56" s="845">
        <v>1</v>
      </c>
      <c r="G56" s="825">
        <v>350</v>
      </c>
      <c r="H56" s="777"/>
      <c r="I56" s="778"/>
      <c r="J56" s="779"/>
      <c r="K56" s="780"/>
      <c r="L56" s="781"/>
      <c r="M56" s="782"/>
      <c r="N56" s="783"/>
      <c r="O56" s="784"/>
      <c r="P56" s="785"/>
      <c r="Q56" s="786"/>
      <c r="R56" s="549">
        <f t="shared" si="0"/>
        <v>0</v>
      </c>
      <c r="S56" s="299">
        <f t="shared" si="1"/>
        <v>0</v>
      </c>
    </row>
    <row r="57" spans="2:19" ht="18" customHeight="1" thickTop="1" thickBot="1" x14ac:dyDescent="0.4">
      <c r="B57" s="847">
        <v>2054</v>
      </c>
      <c r="C57" s="823" t="s">
        <v>311</v>
      </c>
      <c r="D57" s="824"/>
      <c r="E57" s="848"/>
      <c r="F57" s="849">
        <v>23</v>
      </c>
      <c r="G57" s="850">
        <v>4150</v>
      </c>
      <c r="H57" s="809"/>
      <c r="I57" s="580"/>
      <c r="J57" s="810"/>
      <c r="K57" s="811"/>
      <c r="L57" s="812"/>
      <c r="M57" s="813"/>
      <c r="N57" s="585"/>
      <c r="O57" s="814"/>
      <c r="P57" s="815"/>
      <c r="Q57" s="816"/>
      <c r="R57" s="588">
        <f>(H57+I57+J57+K57+M57+L57+N57+O57+P57+Q57)*23</f>
        <v>0</v>
      </c>
      <c r="S57" s="400">
        <f t="shared" si="1"/>
        <v>0</v>
      </c>
    </row>
    <row r="58" spans="2:19" ht="8" customHeight="1" thickTop="1" thickBot="1" x14ac:dyDescent="0.5">
      <c r="B58" s="105"/>
      <c r="C58" s="103"/>
      <c r="D58" s="104"/>
      <c r="E58" s="105"/>
      <c r="F58" s="105"/>
      <c r="G58" s="106"/>
      <c r="H58" s="78"/>
      <c r="I58" s="79"/>
      <c r="J58" s="101"/>
      <c r="K58" s="81"/>
      <c r="L58" s="82"/>
      <c r="M58" s="83"/>
      <c r="N58" s="84"/>
      <c r="O58" s="85"/>
      <c r="P58" s="86"/>
      <c r="Q58" s="102"/>
      <c r="R58" s="107"/>
      <c r="S58" s="108"/>
    </row>
    <row r="59" spans="2:19" ht="18" customHeight="1" thickTop="1" thickBot="1" x14ac:dyDescent="0.4">
      <c r="B59" s="851">
        <v>2061</v>
      </c>
      <c r="C59" s="852" t="s">
        <v>312</v>
      </c>
      <c r="D59" s="853"/>
      <c r="E59" s="854"/>
      <c r="F59" s="855">
        <v>1</v>
      </c>
      <c r="G59" s="856">
        <v>145</v>
      </c>
      <c r="H59" s="595"/>
      <c r="I59" s="306"/>
      <c r="J59" s="307"/>
      <c r="K59" s="308"/>
      <c r="L59" s="309"/>
      <c r="M59" s="310"/>
      <c r="N59" s="311"/>
      <c r="O59" s="314"/>
      <c r="P59" s="315"/>
      <c r="Q59" s="736"/>
      <c r="R59" s="596">
        <f t="shared" si="0"/>
        <v>0</v>
      </c>
      <c r="S59" s="597">
        <f t="shared" si="1"/>
        <v>0</v>
      </c>
    </row>
    <row r="60" spans="2:19" ht="18" customHeight="1" thickTop="1" thickBot="1" x14ac:dyDescent="0.4">
      <c r="B60" s="851">
        <v>2062</v>
      </c>
      <c r="C60" s="857" t="s">
        <v>313</v>
      </c>
      <c r="D60" s="858"/>
      <c r="E60" s="854"/>
      <c r="F60" s="855">
        <v>1</v>
      </c>
      <c r="G60" s="859">
        <v>145</v>
      </c>
      <c r="H60" s="735"/>
      <c r="I60" s="306"/>
      <c r="J60" s="307"/>
      <c r="K60" s="308"/>
      <c r="L60" s="309"/>
      <c r="M60" s="310"/>
      <c r="N60" s="311"/>
      <c r="O60" s="314"/>
      <c r="P60" s="315"/>
      <c r="Q60" s="736"/>
      <c r="R60" s="549">
        <f t="shared" si="0"/>
        <v>0</v>
      </c>
      <c r="S60" s="299">
        <f t="shared" si="1"/>
        <v>0</v>
      </c>
    </row>
    <row r="61" spans="2:19" ht="18" customHeight="1" thickTop="1" thickBot="1" x14ac:dyDescent="0.4">
      <c r="B61" s="860">
        <v>2063</v>
      </c>
      <c r="C61" s="861" t="s">
        <v>314</v>
      </c>
      <c r="D61" s="862"/>
      <c r="E61" s="863"/>
      <c r="F61" s="864">
        <v>1</v>
      </c>
      <c r="G61" s="865">
        <v>145</v>
      </c>
      <c r="H61" s="742"/>
      <c r="I61" s="743"/>
      <c r="J61" s="744"/>
      <c r="K61" s="745"/>
      <c r="L61" s="746"/>
      <c r="M61" s="747"/>
      <c r="N61" s="748"/>
      <c r="O61" s="749"/>
      <c r="P61" s="750"/>
      <c r="Q61" s="751"/>
      <c r="R61" s="549">
        <f t="shared" si="0"/>
        <v>0</v>
      </c>
      <c r="S61" s="299">
        <f t="shared" si="1"/>
        <v>0</v>
      </c>
    </row>
    <row r="62" spans="2:19" ht="18" customHeight="1" thickTop="1" thickBot="1" x14ac:dyDescent="0.4">
      <c r="B62" s="866">
        <v>2064</v>
      </c>
      <c r="C62" s="852" t="s">
        <v>315</v>
      </c>
      <c r="D62" s="867"/>
      <c r="E62" s="868"/>
      <c r="F62" s="869">
        <v>1</v>
      </c>
      <c r="G62" s="870">
        <v>145</v>
      </c>
      <c r="H62" s="836"/>
      <c r="I62" s="758"/>
      <c r="J62" s="759"/>
      <c r="K62" s="760"/>
      <c r="L62" s="761"/>
      <c r="M62" s="762"/>
      <c r="N62" s="763"/>
      <c r="O62" s="764"/>
      <c r="P62" s="765"/>
      <c r="Q62" s="766"/>
      <c r="R62" s="549">
        <f t="shared" si="0"/>
        <v>0</v>
      </c>
      <c r="S62" s="299">
        <f t="shared" si="1"/>
        <v>0</v>
      </c>
    </row>
    <row r="63" spans="2:19" ht="18" customHeight="1" thickTop="1" thickBot="1" x14ac:dyDescent="0.4">
      <c r="B63" s="851">
        <v>2065</v>
      </c>
      <c r="C63" s="871" t="s">
        <v>316</v>
      </c>
      <c r="D63" s="853"/>
      <c r="E63" s="854"/>
      <c r="F63" s="855">
        <v>1</v>
      </c>
      <c r="G63" s="856">
        <v>145</v>
      </c>
      <c r="H63" s="735"/>
      <c r="I63" s="306"/>
      <c r="J63" s="307"/>
      <c r="K63" s="308"/>
      <c r="L63" s="309"/>
      <c r="M63" s="310"/>
      <c r="N63" s="311"/>
      <c r="O63" s="314"/>
      <c r="P63" s="315"/>
      <c r="Q63" s="736"/>
      <c r="R63" s="549">
        <f t="shared" si="0"/>
        <v>0</v>
      </c>
      <c r="S63" s="299">
        <f t="shared" si="1"/>
        <v>0</v>
      </c>
    </row>
    <row r="64" spans="2:19" ht="18" customHeight="1" thickTop="1" thickBot="1" x14ac:dyDescent="0.4">
      <c r="B64" s="860">
        <v>2066</v>
      </c>
      <c r="C64" s="872" t="s">
        <v>317</v>
      </c>
      <c r="D64" s="873"/>
      <c r="E64" s="863"/>
      <c r="F64" s="864">
        <v>1</v>
      </c>
      <c r="G64" s="865">
        <v>145</v>
      </c>
      <c r="H64" s="742"/>
      <c r="I64" s="743"/>
      <c r="J64" s="744"/>
      <c r="K64" s="745"/>
      <c r="L64" s="746"/>
      <c r="M64" s="747"/>
      <c r="N64" s="748"/>
      <c r="O64" s="749"/>
      <c r="P64" s="750"/>
      <c r="Q64" s="751"/>
      <c r="R64" s="549">
        <f t="shared" si="0"/>
        <v>0</v>
      </c>
      <c r="S64" s="299">
        <f t="shared" si="1"/>
        <v>0</v>
      </c>
    </row>
    <row r="65" spans="2:19" ht="18" customHeight="1" thickTop="1" thickBot="1" x14ac:dyDescent="0.4">
      <c r="B65" s="851">
        <v>2067</v>
      </c>
      <c r="C65" s="871" t="s">
        <v>318</v>
      </c>
      <c r="D65" s="874"/>
      <c r="E65" s="854"/>
      <c r="F65" s="855">
        <v>1</v>
      </c>
      <c r="G65" s="856">
        <v>145</v>
      </c>
      <c r="H65" s="735"/>
      <c r="I65" s="306"/>
      <c r="J65" s="307"/>
      <c r="K65" s="308"/>
      <c r="L65" s="309"/>
      <c r="M65" s="310"/>
      <c r="N65" s="311"/>
      <c r="O65" s="314"/>
      <c r="P65" s="315"/>
      <c r="Q65" s="736"/>
      <c r="R65" s="549">
        <f t="shared" si="0"/>
        <v>0</v>
      </c>
      <c r="S65" s="299">
        <f t="shared" si="1"/>
        <v>0</v>
      </c>
    </row>
    <row r="66" spans="2:19" ht="18" customHeight="1" thickTop="1" thickBot="1" x14ac:dyDescent="0.4">
      <c r="B66" s="851">
        <v>2068</v>
      </c>
      <c r="C66" s="871" t="s">
        <v>319</v>
      </c>
      <c r="D66" s="875"/>
      <c r="E66" s="854"/>
      <c r="F66" s="855">
        <v>1</v>
      </c>
      <c r="G66" s="856">
        <v>145</v>
      </c>
      <c r="H66" s="735"/>
      <c r="I66" s="306"/>
      <c r="J66" s="307"/>
      <c r="K66" s="308"/>
      <c r="L66" s="309"/>
      <c r="M66" s="310"/>
      <c r="N66" s="311"/>
      <c r="O66" s="314"/>
      <c r="P66" s="315"/>
      <c r="Q66" s="736"/>
      <c r="R66" s="549">
        <f t="shared" si="0"/>
        <v>0</v>
      </c>
      <c r="S66" s="299">
        <f t="shared" si="1"/>
        <v>0</v>
      </c>
    </row>
    <row r="67" spans="2:19" ht="18" customHeight="1" thickTop="1" thickBot="1" x14ac:dyDescent="0.4">
      <c r="B67" s="860">
        <v>2069</v>
      </c>
      <c r="C67" s="872" t="s">
        <v>320</v>
      </c>
      <c r="D67" s="873"/>
      <c r="E67" s="863"/>
      <c r="F67" s="864">
        <v>1</v>
      </c>
      <c r="G67" s="865">
        <v>145</v>
      </c>
      <c r="H67" s="742"/>
      <c r="I67" s="743"/>
      <c r="J67" s="744"/>
      <c r="K67" s="745"/>
      <c r="L67" s="746"/>
      <c r="M67" s="747"/>
      <c r="N67" s="748"/>
      <c r="O67" s="749"/>
      <c r="P67" s="750"/>
      <c r="Q67" s="751"/>
      <c r="R67" s="549">
        <f t="shared" si="0"/>
        <v>0</v>
      </c>
      <c r="S67" s="299">
        <f t="shared" si="1"/>
        <v>0</v>
      </c>
    </row>
    <row r="68" spans="2:19" ht="18" customHeight="1" thickTop="1" thickBot="1" x14ac:dyDescent="0.4">
      <c r="B68" s="851">
        <v>2070</v>
      </c>
      <c r="C68" s="871" t="s">
        <v>321</v>
      </c>
      <c r="D68" s="853"/>
      <c r="E68" s="854"/>
      <c r="F68" s="855">
        <v>1</v>
      </c>
      <c r="G68" s="856">
        <v>145</v>
      </c>
      <c r="H68" s="735"/>
      <c r="I68" s="306"/>
      <c r="J68" s="307"/>
      <c r="K68" s="308"/>
      <c r="L68" s="309"/>
      <c r="M68" s="310"/>
      <c r="N68" s="311"/>
      <c r="O68" s="314"/>
      <c r="P68" s="315"/>
      <c r="Q68" s="736"/>
      <c r="R68" s="549">
        <f t="shared" si="0"/>
        <v>0</v>
      </c>
      <c r="S68" s="299">
        <f t="shared" si="1"/>
        <v>0</v>
      </c>
    </row>
    <row r="69" spans="2:19" ht="18" customHeight="1" thickTop="1" thickBot="1" x14ac:dyDescent="0.4">
      <c r="B69" s="876">
        <v>2071</v>
      </c>
      <c r="C69" s="877" t="s">
        <v>322</v>
      </c>
      <c r="D69" s="878"/>
      <c r="E69" s="879"/>
      <c r="F69" s="880">
        <v>1</v>
      </c>
      <c r="G69" s="881">
        <v>145</v>
      </c>
      <c r="H69" s="777"/>
      <c r="I69" s="778"/>
      <c r="J69" s="779"/>
      <c r="K69" s="780"/>
      <c r="L69" s="781"/>
      <c r="M69" s="782"/>
      <c r="N69" s="783"/>
      <c r="O69" s="784"/>
      <c r="P69" s="785"/>
      <c r="Q69" s="786"/>
      <c r="R69" s="549">
        <f t="shared" si="0"/>
        <v>0</v>
      </c>
      <c r="S69" s="299">
        <f t="shared" si="1"/>
        <v>0</v>
      </c>
    </row>
    <row r="70" spans="2:19" ht="18" customHeight="1" thickTop="1" thickBot="1" x14ac:dyDescent="0.4">
      <c r="B70" s="860">
        <v>2072</v>
      </c>
      <c r="C70" s="872" t="s">
        <v>323</v>
      </c>
      <c r="D70" s="873"/>
      <c r="E70" s="863"/>
      <c r="F70" s="864">
        <v>1</v>
      </c>
      <c r="G70" s="865">
        <v>165</v>
      </c>
      <c r="H70" s="846"/>
      <c r="I70" s="743"/>
      <c r="J70" s="744"/>
      <c r="K70" s="745"/>
      <c r="L70" s="746"/>
      <c r="M70" s="747"/>
      <c r="N70" s="748"/>
      <c r="O70" s="749"/>
      <c r="P70" s="750"/>
      <c r="Q70" s="751"/>
      <c r="R70" s="549">
        <f t="shared" si="0"/>
        <v>0</v>
      </c>
      <c r="S70" s="299">
        <f t="shared" si="1"/>
        <v>0</v>
      </c>
    </row>
    <row r="71" spans="2:19" ht="18" customHeight="1" thickTop="1" thickBot="1" x14ac:dyDescent="0.4">
      <c r="B71" s="851">
        <v>2073</v>
      </c>
      <c r="C71" s="857" t="s">
        <v>324</v>
      </c>
      <c r="D71" s="853"/>
      <c r="E71" s="854"/>
      <c r="F71" s="855">
        <v>1</v>
      </c>
      <c r="G71" s="856">
        <v>165</v>
      </c>
      <c r="H71" s="595"/>
      <c r="I71" s="306"/>
      <c r="J71" s="307"/>
      <c r="K71" s="308"/>
      <c r="L71" s="309"/>
      <c r="M71" s="310"/>
      <c r="N71" s="311"/>
      <c r="O71" s="314"/>
      <c r="P71" s="315"/>
      <c r="Q71" s="736"/>
      <c r="R71" s="549">
        <f t="shared" si="0"/>
        <v>0</v>
      </c>
      <c r="S71" s="299">
        <f t="shared" si="1"/>
        <v>0</v>
      </c>
    </row>
    <row r="72" spans="2:19" ht="18" customHeight="1" thickTop="1" thickBot="1" x14ac:dyDescent="0.4">
      <c r="B72" s="876">
        <v>2074</v>
      </c>
      <c r="C72" s="877" t="s">
        <v>325</v>
      </c>
      <c r="D72" s="878"/>
      <c r="E72" s="879"/>
      <c r="F72" s="880">
        <v>1</v>
      </c>
      <c r="G72" s="881">
        <v>165</v>
      </c>
      <c r="H72" s="802"/>
      <c r="I72" s="778"/>
      <c r="J72" s="779"/>
      <c r="K72" s="780"/>
      <c r="L72" s="781"/>
      <c r="M72" s="782"/>
      <c r="N72" s="783"/>
      <c r="O72" s="784"/>
      <c r="P72" s="785"/>
      <c r="Q72" s="786"/>
      <c r="R72" s="549">
        <f t="shared" si="0"/>
        <v>0</v>
      </c>
      <c r="S72" s="299">
        <f t="shared" si="1"/>
        <v>0</v>
      </c>
    </row>
    <row r="73" spans="2:19" ht="18" customHeight="1" thickTop="1" thickBot="1" x14ac:dyDescent="0.4">
      <c r="B73" s="860">
        <v>2075</v>
      </c>
      <c r="C73" s="872" t="s">
        <v>326</v>
      </c>
      <c r="D73" s="873"/>
      <c r="E73" s="863"/>
      <c r="F73" s="864">
        <v>1</v>
      </c>
      <c r="G73" s="865">
        <v>165</v>
      </c>
      <c r="H73" s="742"/>
      <c r="I73" s="743"/>
      <c r="J73" s="744"/>
      <c r="K73" s="745"/>
      <c r="L73" s="746"/>
      <c r="M73" s="747"/>
      <c r="N73" s="748"/>
      <c r="O73" s="749"/>
      <c r="P73" s="750"/>
      <c r="Q73" s="751"/>
      <c r="R73" s="549">
        <f t="shared" si="0"/>
        <v>0</v>
      </c>
      <c r="S73" s="299">
        <f t="shared" si="1"/>
        <v>0</v>
      </c>
    </row>
    <row r="74" spans="2:19" ht="18" customHeight="1" thickTop="1" thickBot="1" x14ac:dyDescent="0.4">
      <c r="B74" s="851">
        <v>2076</v>
      </c>
      <c r="C74" s="871" t="s">
        <v>327</v>
      </c>
      <c r="D74" s="853"/>
      <c r="E74" s="854"/>
      <c r="F74" s="855">
        <v>1</v>
      </c>
      <c r="G74" s="856">
        <v>200</v>
      </c>
      <c r="H74" s="735"/>
      <c r="I74" s="306"/>
      <c r="J74" s="307"/>
      <c r="K74" s="308"/>
      <c r="L74" s="309"/>
      <c r="M74" s="310"/>
      <c r="N74" s="311"/>
      <c r="O74" s="314"/>
      <c r="P74" s="315"/>
      <c r="Q74" s="736"/>
      <c r="R74" s="549">
        <f t="shared" si="0"/>
        <v>0</v>
      </c>
      <c r="S74" s="299">
        <f t="shared" si="1"/>
        <v>0</v>
      </c>
    </row>
    <row r="75" spans="2:19" ht="18" customHeight="1" thickTop="1" thickBot="1" x14ac:dyDescent="0.4">
      <c r="B75" s="876">
        <v>2077</v>
      </c>
      <c r="C75" s="877" t="s">
        <v>328</v>
      </c>
      <c r="D75" s="878"/>
      <c r="E75" s="879"/>
      <c r="F75" s="880">
        <v>1</v>
      </c>
      <c r="G75" s="881">
        <v>200</v>
      </c>
      <c r="H75" s="777"/>
      <c r="I75" s="778"/>
      <c r="J75" s="779"/>
      <c r="K75" s="780"/>
      <c r="L75" s="781"/>
      <c r="M75" s="782"/>
      <c r="N75" s="783"/>
      <c r="O75" s="784"/>
      <c r="P75" s="785"/>
      <c r="Q75" s="786"/>
      <c r="R75" s="549">
        <f t="shared" si="0"/>
        <v>0</v>
      </c>
      <c r="S75" s="299">
        <f t="shared" si="1"/>
        <v>0</v>
      </c>
    </row>
    <row r="76" spans="2:19" ht="18" customHeight="1" thickTop="1" thickBot="1" x14ac:dyDescent="0.4">
      <c r="B76" s="860">
        <v>2078</v>
      </c>
      <c r="C76" s="872" t="s">
        <v>329</v>
      </c>
      <c r="D76" s="873"/>
      <c r="E76" s="863"/>
      <c r="F76" s="864">
        <v>1</v>
      </c>
      <c r="G76" s="865">
        <v>200</v>
      </c>
      <c r="H76" s="742"/>
      <c r="I76" s="743"/>
      <c r="J76" s="744"/>
      <c r="K76" s="745"/>
      <c r="L76" s="746"/>
      <c r="M76" s="747"/>
      <c r="N76" s="748"/>
      <c r="O76" s="749"/>
      <c r="P76" s="750"/>
      <c r="Q76" s="751"/>
      <c r="R76" s="549">
        <f t="shared" si="0"/>
        <v>0</v>
      </c>
      <c r="S76" s="299">
        <f t="shared" si="1"/>
        <v>0</v>
      </c>
    </row>
    <row r="77" spans="2:19" ht="18" customHeight="1" thickTop="1" thickBot="1" x14ac:dyDescent="0.4">
      <c r="B77" s="851">
        <v>2079</v>
      </c>
      <c r="C77" s="871" t="s">
        <v>330</v>
      </c>
      <c r="D77" s="853"/>
      <c r="E77" s="854"/>
      <c r="F77" s="855">
        <v>1</v>
      </c>
      <c r="G77" s="856">
        <v>200</v>
      </c>
      <c r="H77" s="735"/>
      <c r="I77" s="306"/>
      <c r="J77" s="307"/>
      <c r="K77" s="308"/>
      <c r="L77" s="309"/>
      <c r="M77" s="310"/>
      <c r="N77" s="311"/>
      <c r="O77" s="314"/>
      <c r="P77" s="315"/>
      <c r="Q77" s="736"/>
      <c r="R77" s="549">
        <f t="shared" si="0"/>
        <v>0</v>
      </c>
      <c r="S77" s="299">
        <f t="shared" si="1"/>
        <v>0</v>
      </c>
    </row>
    <row r="78" spans="2:19" ht="18" customHeight="1" thickTop="1" thickBot="1" x14ac:dyDescent="0.4">
      <c r="B78" s="876">
        <v>2080</v>
      </c>
      <c r="C78" s="877" t="s">
        <v>331</v>
      </c>
      <c r="D78" s="878"/>
      <c r="E78" s="879"/>
      <c r="F78" s="880">
        <v>1</v>
      </c>
      <c r="G78" s="881">
        <v>200</v>
      </c>
      <c r="H78" s="777"/>
      <c r="I78" s="778"/>
      <c r="J78" s="779"/>
      <c r="K78" s="780"/>
      <c r="L78" s="781"/>
      <c r="M78" s="782"/>
      <c r="N78" s="783"/>
      <c r="O78" s="784"/>
      <c r="P78" s="785"/>
      <c r="Q78" s="786"/>
      <c r="R78" s="549">
        <f t="shared" si="0"/>
        <v>0</v>
      </c>
      <c r="S78" s="299">
        <f t="shared" si="1"/>
        <v>0</v>
      </c>
    </row>
    <row r="79" spans="2:19" ht="18" customHeight="1" thickTop="1" thickBot="1" x14ac:dyDescent="0.4">
      <c r="B79" s="860">
        <v>2081</v>
      </c>
      <c r="C79" s="872" t="s">
        <v>332</v>
      </c>
      <c r="D79" s="873"/>
      <c r="E79" s="863"/>
      <c r="F79" s="864">
        <v>1</v>
      </c>
      <c r="G79" s="865">
        <v>200</v>
      </c>
      <c r="H79" s="742"/>
      <c r="I79" s="743"/>
      <c r="J79" s="744"/>
      <c r="K79" s="745"/>
      <c r="L79" s="746"/>
      <c r="M79" s="747"/>
      <c r="N79" s="748"/>
      <c r="O79" s="749"/>
      <c r="P79" s="750"/>
      <c r="Q79" s="751"/>
      <c r="R79" s="549">
        <f t="shared" si="0"/>
        <v>0</v>
      </c>
      <c r="S79" s="299">
        <f t="shared" si="1"/>
        <v>0</v>
      </c>
    </row>
    <row r="80" spans="2:19" ht="18" customHeight="1" thickTop="1" thickBot="1" x14ac:dyDescent="0.4">
      <c r="B80" s="851">
        <v>2082</v>
      </c>
      <c r="C80" s="871" t="s">
        <v>333</v>
      </c>
      <c r="D80" s="853"/>
      <c r="E80" s="854"/>
      <c r="F80" s="855">
        <v>1</v>
      </c>
      <c r="G80" s="856">
        <v>345</v>
      </c>
      <c r="H80" s="735"/>
      <c r="I80" s="306"/>
      <c r="J80" s="307"/>
      <c r="K80" s="308"/>
      <c r="L80" s="309"/>
      <c r="M80" s="310"/>
      <c r="N80" s="311"/>
      <c r="O80" s="314"/>
      <c r="P80" s="315"/>
      <c r="Q80" s="736"/>
      <c r="R80" s="549">
        <f t="shared" si="0"/>
        <v>0</v>
      </c>
      <c r="S80" s="299">
        <f t="shared" si="1"/>
        <v>0</v>
      </c>
    </row>
    <row r="81" spans="2:19" ht="18" customHeight="1" thickTop="1" thickBot="1" x14ac:dyDescent="0.4">
      <c r="B81" s="876">
        <v>2083</v>
      </c>
      <c r="C81" s="877" t="s">
        <v>334</v>
      </c>
      <c r="D81" s="878"/>
      <c r="E81" s="879"/>
      <c r="F81" s="880">
        <v>1</v>
      </c>
      <c r="G81" s="881">
        <v>345</v>
      </c>
      <c r="H81" s="777"/>
      <c r="I81" s="778"/>
      <c r="J81" s="779"/>
      <c r="K81" s="780"/>
      <c r="L81" s="781"/>
      <c r="M81" s="782"/>
      <c r="N81" s="783"/>
      <c r="O81" s="784"/>
      <c r="P81" s="785"/>
      <c r="Q81" s="786"/>
      <c r="R81" s="549">
        <f t="shared" si="0"/>
        <v>0</v>
      </c>
      <c r="S81" s="299">
        <f t="shared" si="1"/>
        <v>0</v>
      </c>
    </row>
    <row r="82" spans="2:19" ht="18" customHeight="1" thickTop="1" thickBot="1" x14ac:dyDescent="0.4">
      <c r="B82" s="882">
        <v>2084</v>
      </c>
      <c r="C82" s="883" t="s">
        <v>335</v>
      </c>
      <c r="D82" s="884"/>
      <c r="E82" s="885"/>
      <c r="F82" s="886">
        <v>23</v>
      </c>
      <c r="G82" s="887">
        <v>4070</v>
      </c>
      <c r="H82" s="888"/>
      <c r="I82" s="414"/>
      <c r="J82" s="415"/>
      <c r="K82" s="416"/>
      <c r="L82" s="417"/>
      <c r="M82" s="418"/>
      <c r="N82" s="419"/>
      <c r="O82" s="422"/>
      <c r="P82" s="423"/>
      <c r="Q82" s="889"/>
      <c r="R82" s="890">
        <f>(H82+I82+J82+K82+M82+L82+N82+O82+P82+Q82)*23</f>
        <v>0</v>
      </c>
      <c r="S82" s="452">
        <f t="shared" si="1"/>
        <v>0</v>
      </c>
    </row>
    <row r="83" spans="2:19" ht="18" customHeight="1" thickTop="1" thickBot="1" x14ac:dyDescent="0.4"/>
    <row r="84" spans="2:19" ht="42.75" customHeight="1" thickTop="1" thickBot="1" x14ac:dyDescent="0.4">
      <c r="B84" s="1040" t="s">
        <v>129</v>
      </c>
      <c r="C84" s="1041"/>
      <c r="D84" s="1041"/>
      <c r="E84" s="1041"/>
      <c r="F84" s="1041"/>
      <c r="G84" s="1041"/>
      <c r="H84" s="1042"/>
      <c r="I84" s="1041"/>
      <c r="J84" s="1041"/>
      <c r="K84" s="1041"/>
      <c r="L84" s="1041"/>
      <c r="M84" s="1041"/>
      <c r="N84" s="1041"/>
      <c r="O84" s="1041"/>
      <c r="P84" s="1041"/>
      <c r="Q84" s="1041"/>
      <c r="R84" s="1041"/>
      <c r="S84" s="1043"/>
    </row>
    <row r="85" spans="2:19" ht="18" customHeight="1" thickTop="1" thickBot="1" x14ac:dyDescent="0.4">
      <c r="B85" s="276">
        <v>2101</v>
      </c>
      <c r="C85" s="730" t="s">
        <v>336</v>
      </c>
      <c r="D85" s="541"/>
      <c r="E85" s="731"/>
      <c r="F85" s="279">
        <v>1</v>
      </c>
      <c r="G85" s="280">
        <v>150</v>
      </c>
      <c r="H85" s="281"/>
      <c r="I85" s="282"/>
      <c r="J85" s="283"/>
      <c r="K85" s="284"/>
      <c r="L85" s="285"/>
      <c r="M85" s="286"/>
      <c r="N85" s="287"/>
      <c r="O85" s="290"/>
      <c r="P85" s="291"/>
      <c r="Q85" s="732"/>
      <c r="R85" s="549">
        <f t="shared" ref="R85:R106" si="2">(H85+I85+J85+K85+M85+L85+N85+O85+P85+Q85)*1</f>
        <v>0</v>
      </c>
      <c r="S85" s="299">
        <f>(H85+I85+J85+K85+L85+M85+N85+O85+P85+Q85)*G85</f>
        <v>0</v>
      </c>
    </row>
    <row r="86" spans="2:19" ht="18" customHeight="1" thickTop="1" thickBot="1" x14ac:dyDescent="0.4">
      <c r="B86" s="457">
        <v>2102</v>
      </c>
      <c r="C86" s="475" t="s">
        <v>337</v>
      </c>
      <c r="D86" s="733"/>
      <c r="E86" s="551"/>
      <c r="F86" s="458">
        <v>1</v>
      </c>
      <c r="G86" s="734">
        <v>150</v>
      </c>
      <c r="H86" s="735"/>
      <c r="I86" s="306"/>
      <c r="J86" s="307"/>
      <c r="K86" s="308"/>
      <c r="L86" s="309"/>
      <c r="M86" s="310"/>
      <c r="N86" s="311"/>
      <c r="O86" s="314"/>
      <c r="P86" s="315"/>
      <c r="Q86" s="736"/>
      <c r="R86" s="549">
        <f t="shared" si="2"/>
        <v>0</v>
      </c>
      <c r="S86" s="299">
        <f>(H86+I86+J86+K86+L86+M86+N86+O86+P86+Q86)*G86</f>
        <v>0</v>
      </c>
    </row>
    <row r="87" spans="2:19" ht="18" customHeight="1" thickTop="1" thickBot="1" x14ac:dyDescent="0.4">
      <c r="B87" s="737">
        <v>2103</v>
      </c>
      <c r="C87" s="323" t="s">
        <v>338</v>
      </c>
      <c r="D87" s="738"/>
      <c r="E87" s="739"/>
      <c r="F87" s="740">
        <v>1</v>
      </c>
      <c r="G87" s="741">
        <v>150</v>
      </c>
      <c r="H87" s="742"/>
      <c r="I87" s="743"/>
      <c r="J87" s="744"/>
      <c r="K87" s="745"/>
      <c r="L87" s="746"/>
      <c r="M87" s="747"/>
      <c r="N87" s="748"/>
      <c r="O87" s="749"/>
      <c r="P87" s="750"/>
      <c r="Q87" s="751"/>
      <c r="R87" s="549">
        <f t="shared" si="2"/>
        <v>0</v>
      </c>
      <c r="S87" s="299">
        <f t="shared" ref="S87:S107" si="3">(H87+I87+J87+K87+L87+M87+N87+O87+P87+Q87)*G87</f>
        <v>0</v>
      </c>
    </row>
    <row r="88" spans="2:19" ht="18" customHeight="1" thickTop="1" thickBot="1" x14ac:dyDescent="0.4">
      <c r="B88" s="752">
        <v>2104</v>
      </c>
      <c r="C88" s="753" t="s">
        <v>339</v>
      </c>
      <c r="D88" s="566"/>
      <c r="E88" s="754"/>
      <c r="F88" s="755">
        <v>1</v>
      </c>
      <c r="G88" s="756">
        <v>160</v>
      </c>
      <c r="H88" s="757"/>
      <c r="I88" s="758"/>
      <c r="J88" s="759"/>
      <c r="K88" s="760"/>
      <c r="L88" s="761"/>
      <c r="M88" s="762"/>
      <c r="N88" s="763"/>
      <c r="O88" s="764"/>
      <c r="P88" s="765"/>
      <c r="Q88" s="766"/>
      <c r="R88" s="549">
        <f t="shared" si="2"/>
        <v>0</v>
      </c>
      <c r="S88" s="299">
        <f t="shared" si="3"/>
        <v>0</v>
      </c>
    </row>
    <row r="89" spans="2:19" ht="18" customHeight="1" thickTop="1" thickBot="1" x14ac:dyDescent="0.4">
      <c r="B89" s="300">
        <v>2105</v>
      </c>
      <c r="C89" s="345" t="s">
        <v>340</v>
      </c>
      <c r="D89" s="767"/>
      <c r="E89" s="551"/>
      <c r="F89" s="303">
        <v>1</v>
      </c>
      <c r="G89" s="346">
        <v>160</v>
      </c>
      <c r="H89" s="305"/>
      <c r="I89" s="306"/>
      <c r="J89" s="307"/>
      <c r="K89" s="308"/>
      <c r="L89" s="309"/>
      <c r="M89" s="310"/>
      <c r="N89" s="311"/>
      <c r="O89" s="314"/>
      <c r="P89" s="315"/>
      <c r="Q89" s="736"/>
      <c r="R89" s="549">
        <f t="shared" si="2"/>
        <v>0</v>
      </c>
      <c r="S89" s="299">
        <f t="shared" si="3"/>
        <v>0</v>
      </c>
    </row>
    <row r="90" spans="2:19" ht="18" customHeight="1" thickTop="1" thickBot="1" x14ac:dyDescent="0.4">
      <c r="B90" s="322">
        <v>2106</v>
      </c>
      <c r="C90" s="323" t="s">
        <v>341</v>
      </c>
      <c r="D90" s="738"/>
      <c r="E90" s="559"/>
      <c r="F90" s="325">
        <v>1</v>
      </c>
      <c r="G90" s="326">
        <v>170</v>
      </c>
      <c r="H90" s="327"/>
      <c r="I90" s="328"/>
      <c r="J90" s="329"/>
      <c r="K90" s="330"/>
      <c r="L90" s="331"/>
      <c r="M90" s="332"/>
      <c r="N90" s="333"/>
      <c r="O90" s="336"/>
      <c r="P90" s="337"/>
      <c r="Q90" s="768"/>
      <c r="R90" s="549">
        <f t="shared" si="2"/>
        <v>0</v>
      </c>
      <c r="S90" s="299">
        <f t="shared" si="3"/>
        <v>0</v>
      </c>
    </row>
    <row r="91" spans="2:19" ht="18" customHeight="1" thickTop="1" thickBot="1" x14ac:dyDescent="0.4">
      <c r="B91" s="457">
        <v>2107</v>
      </c>
      <c r="C91" s="345" t="s">
        <v>342</v>
      </c>
      <c r="D91" s="566"/>
      <c r="E91" s="551"/>
      <c r="F91" s="458">
        <v>1</v>
      </c>
      <c r="G91" s="769">
        <v>170</v>
      </c>
      <c r="H91" s="735"/>
      <c r="I91" s="306"/>
      <c r="J91" s="307"/>
      <c r="K91" s="308"/>
      <c r="L91" s="309"/>
      <c r="M91" s="310"/>
      <c r="N91" s="311"/>
      <c r="O91" s="314"/>
      <c r="P91" s="315"/>
      <c r="Q91" s="736"/>
      <c r="R91" s="549">
        <f t="shared" si="2"/>
        <v>0</v>
      </c>
      <c r="S91" s="299">
        <f t="shared" si="3"/>
        <v>0</v>
      </c>
    </row>
    <row r="92" spans="2:19" ht="18" customHeight="1" thickTop="1" thickBot="1" x14ac:dyDescent="0.4">
      <c r="B92" s="457">
        <v>2108</v>
      </c>
      <c r="C92" s="345" t="s">
        <v>343</v>
      </c>
      <c r="D92" s="550"/>
      <c r="E92" s="551"/>
      <c r="F92" s="458">
        <v>1</v>
      </c>
      <c r="G92" s="769">
        <v>170</v>
      </c>
      <c r="H92" s="735"/>
      <c r="I92" s="306"/>
      <c r="J92" s="307"/>
      <c r="K92" s="308"/>
      <c r="L92" s="309"/>
      <c r="M92" s="310"/>
      <c r="N92" s="311"/>
      <c r="O92" s="314"/>
      <c r="P92" s="315"/>
      <c r="Q92" s="736"/>
      <c r="R92" s="549">
        <f t="shared" si="2"/>
        <v>0</v>
      </c>
      <c r="S92" s="299">
        <f t="shared" si="3"/>
        <v>0</v>
      </c>
    </row>
    <row r="93" spans="2:19" ht="18" customHeight="1" thickTop="1" thickBot="1" x14ac:dyDescent="0.4">
      <c r="B93" s="737">
        <v>2109</v>
      </c>
      <c r="C93" s="770" t="s">
        <v>344</v>
      </c>
      <c r="D93" s="771"/>
      <c r="E93" s="739"/>
      <c r="F93" s="740">
        <v>1</v>
      </c>
      <c r="G93" s="741">
        <v>170</v>
      </c>
      <c r="H93" s="742"/>
      <c r="I93" s="743"/>
      <c r="J93" s="744"/>
      <c r="K93" s="745"/>
      <c r="L93" s="746"/>
      <c r="M93" s="747"/>
      <c r="N93" s="748"/>
      <c r="O93" s="749"/>
      <c r="P93" s="750"/>
      <c r="Q93" s="751"/>
      <c r="R93" s="549">
        <f t="shared" si="2"/>
        <v>0</v>
      </c>
      <c r="S93" s="299">
        <f t="shared" si="3"/>
        <v>0</v>
      </c>
    </row>
    <row r="94" spans="2:19" ht="18" customHeight="1" thickTop="1" thickBot="1" x14ac:dyDescent="0.4">
      <c r="B94" s="457">
        <v>2110</v>
      </c>
      <c r="C94" s="345" t="s">
        <v>345</v>
      </c>
      <c r="D94" s="767"/>
      <c r="E94" s="551"/>
      <c r="F94" s="458">
        <v>1</v>
      </c>
      <c r="G94" s="769">
        <v>180</v>
      </c>
      <c r="H94" s="735"/>
      <c r="I94" s="306"/>
      <c r="J94" s="307"/>
      <c r="K94" s="308"/>
      <c r="L94" s="309"/>
      <c r="M94" s="310"/>
      <c r="N94" s="311"/>
      <c r="O94" s="314"/>
      <c r="P94" s="315"/>
      <c r="Q94" s="736"/>
      <c r="R94" s="549">
        <f t="shared" si="2"/>
        <v>0</v>
      </c>
      <c r="S94" s="299">
        <f t="shared" si="3"/>
        <v>0</v>
      </c>
    </row>
    <row r="95" spans="2:19" ht="18" customHeight="1" thickTop="1" thickBot="1" x14ac:dyDescent="0.4">
      <c r="B95" s="772">
        <v>2111</v>
      </c>
      <c r="C95" s="773" t="s">
        <v>346</v>
      </c>
      <c r="D95" s="774"/>
      <c r="E95" s="775"/>
      <c r="F95" s="776">
        <v>1</v>
      </c>
      <c r="G95" s="734">
        <v>200</v>
      </c>
      <c r="H95" s="777"/>
      <c r="I95" s="778"/>
      <c r="J95" s="779"/>
      <c r="K95" s="780"/>
      <c r="L95" s="781"/>
      <c r="M95" s="782"/>
      <c r="N95" s="783"/>
      <c r="O95" s="784"/>
      <c r="P95" s="785"/>
      <c r="Q95" s="786"/>
      <c r="R95" s="549">
        <f t="shared" si="2"/>
        <v>0</v>
      </c>
      <c r="S95" s="299">
        <f t="shared" si="3"/>
        <v>0</v>
      </c>
    </row>
    <row r="96" spans="2:19" ht="18" customHeight="1" thickTop="1" thickBot="1" x14ac:dyDescent="0.4">
      <c r="B96" s="787">
        <v>2112</v>
      </c>
      <c r="C96" s="788" t="s">
        <v>347</v>
      </c>
      <c r="D96" s="771"/>
      <c r="E96" s="789"/>
      <c r="F96" s="790">
        <v>1</v>
      </c>
      <c r="G96" s="791">
        <v>200</v>
      </c>
      <c r="H96" s="792"/>
      <c r="I96" s="793"/>
      <c r="J96" s="794"/>
      <c r="K96" s="795"/>
      <c r="L96" s="796"/>
      <c r="M96" s="797"/>
      <c r="N96" s="798"/>
      <c r="O96" s="799"/>
      <c r="P96" s="800"/>
      <c r="Q96" s="801"/>
      <c r="R96" s="549">
        <f t="shared" si="2"/>
        <v>0</v>
      </c>
      <c r="S96" s="299">
        <f t="shared" si="3"/>
        <v>0</v>
      </c>
    </row>
    <row r="97" spans="2:19" ht="18" customHeight="1" thickTop="1" thickBot="1" x14ac:dyDescent="0.4">
      <c r="B97" s="457">
        <v>2113</v>
      </c>
      <c r="C97" s="475" t="s">
        <v>348</v>
      </c>
      <c r="D97" s="767"/>
      <c r="E97" s="551"/>
      <c r="F97" s="458">
        <v>1</v>
      </c>
      <c r="G97" s="769">
        <v>200</v>
      </c>
      <c r="H97" s="595"/>
      <c r="I97" s="306"/>
      <c r="J97" s="307"/>
      <c r="K97" s="308"/>
      <c r="L97" s="309"/>
      <c r="M97" s="310"/>
      <c r="N97" s="311"/>
      <c r="O97" s="314"/>
      <c r="P97" s="315"/>
      <c r="Q97" s="736"/>
      <c r="R97" s="549">
        <f t="shared" si="2"/>
        <v>0</v>
      </c>
      <c r="S97" s="299">
        <f t="shared" si="3"/>
        <v>0</v>
      </c>
    </row>
    <row r="98" spans="2:19" ht="18" customHeight="1" thickTop="1" thickBot="1" x14ac:dyDescent="0.4">
      <c r="B98" s="772">
        <v>2114</v>
      </c>
      <c r="C98" s="773" t="s">
        <v>349</v>
      </c>
      <c r="D98" s="774"/>
      <c r="E98" s="775"/>
      <c r="F98" s="776">
        <v>1</v>
      </c>
      <c r="G98" s="734">
        <v>200</v>
      </c>
      <c r="H98" s="802"/>
      <c r="I98" s="778"/>
      <c r="J98" s="779"/>
      <c r="K98" s="780"/>
      <c r="L98" s="781"/>
      <c r="M98" s="782"/>
      <c r="N98" s="783"/>
      <c r="O98" s="784"/>
      <c r="P98" s="785"/>
      <c r="Q98" s="786"/>
      <c r="R98" s="549">
        <f t="shared" si="2"/>
        <v>0</v>
      </c>
      <c r="S98" s="299">
        <f t="shared" si="3"/>
        <v>0</v>
      </c>
    </row>
    <row r="99" spans="2:19" ht="18" customHeight="1" thickTop="1" thickBot="1" x14ac:dyDescent="0.4">
      <c r="B99" s="787">
        <v>2115</v>
      </c>
      <c r="C99" s="788" t="s">
        <v>350</v>
      </c>
      <c r="D99" s="771"/>
      <c r="E99" s="789"/>
      <c r="F99" s="790">
        <v>1</v>
      </c>
      <c r="G99" s="791">
        <v>220</v>
      </c>
      <c r="H99" s="803"/>
      <c r="I99" s="793"/>
      <c r="J99" s="794"/>
      <c r="K99" s="795"/>
      <c r="L99" s="796"/>
      <c r="M99" s="797"/>
      <c r="N99" s="798"/>
      <c r="O99" s="799"/>
      <c r="P99" s="800"/>
      <c r="Q99" s="801"/>
      <c r="R99" s="549">
        <f t="shared" si="2"/>
        <v>0</v>
      </c>
      <c r="S99" s="299">
        <f t="shared" si="3"/>
        <v>0</v>
      </c>
    </row>
    <row r="100" spans="2:19" ht="18" customHeight="1" thickTop="1" thickBot="1" x14ac:dyDescent="0.4">
      <c r="B100" s="457">
        <v>2116</v>
      </c>
      <c r="C100" s="345" t="s">
        <v>351</v>
      </c>
      <c r="D100" s="767"/>
      <c r="E100" s="551"/>
      <c r="F100" s="458">
        <v>1</v>
      </c>
      <c r="G100" s="769">
        <v>220</v>
      </c>
      <c r="H100" s="735"/>
      <c r="I100" s="306"/>
      <c r="J100" s="307"/>
      <c r="K100" s="308"/>
      <c r="L100" s="309"/>
      <c r="M100" s="310"/>
      <c r="N100" s="311"/>
      <c r="O100" s="314"/>
      <c r="P100" s="315"/>
      <c r="Q100" s="736"/>
      <c r="R100" s="549">
        <f t="shared" si="2"/>
        <v>0</v>
      </c>
      <c r="S100" s="299">
        <f t="shared" si="3"/>
        <v>0</v>
      </c>
    </row>
    <row r="101" spans="2:19" ht="18" customHeight="1" thickTop="1" thickBot="1" x14ac:dyDescent="0.4">
      <c r="B101" s="772">
        <v>2117</v>
      </c>
      <c r="C101" s="773" t="s">
        <v>352</v>
      </c>
      <c r="D101" s="774"/>
      <c r="E101" s="775"/>
      <c r="F101" s="776">
        <v>1</v>
      </c>
      <c r="G101" s="734">
        <v>220</v>
      </c>
      <c r="H101" s="777"/>
      <c r="I101" s="778"/>
      <c r="J101" s="779"/>
      <c r="K101" s="780"/>
      <c r="L101" s="781"/>
      <c r="M101" s="782"/>
      <c r="N101" s="783"/>
      <c r="O101" s="784"/>
      <c r="P101" s="785"/>
      <c r="Q101" s="786"/>
      <c r="R101" s="549">
        <f t="shared" si="2"/>
        <v>0</v>
      </c>
      <c r="S101" s="299">
        <f t="shared" si="3"/>
        <v>0</v>
      </c>
    </row>
    <row r="102" spans="2:19" ht="18" customHeight="1" thickTop="1" thickBot="1" x14ac:dyDescent="0.4">
      <c r="B102" s="787">
        <v>2118</v>
      </c>
      <c r="C102" s="788" t="s">
        <v>353</v>
      </c>
      <c r="D102" s="771"/>
      <c r="E102" s="789"/>
      <c r="F102" s="790">
        <v>1</v>
      </c>
      <c r="G102" s="791">
        <v>260</v>
      </c>
      <c r="H102" s="803"/>
      <c r="I102" s="793"/>
      <c r="J102" s="794"/>
      <c r="K102" s="795"/>
      <c r="L102" s="796"/>
      <c r="M102" s="797"/>
      <c r="N102" s="798"/>
      <c r="O102" s="799"/>
      <c r="P102" s="800"/>
      <c r="Q102" s="801"/>
      <c r="R102" s="549">
        <f t="shared" si="2"/>
        <v>0</v>
      </c>
      <c r="S102" s="299">
        <f t="shared" si="3"/>
        <v>0</v>
      </c>
    </row>
    <row r="103" spans="2:19" ht="18" customHeight="1" thickTop="1" thickBot="1" x14ac:dyDescent="0.4">
      <c r="B103" s="457">
        <v>2119</v>
      </c>
      <c r="C103" s="345" t="s">
        <v>354</v>
      </c>
      <c r="D103" s="767"/>
      <c r="E103" s="551"/>
      <c r="F103" s="458">
        <v>1</v>
      </c>
      <c r="G103" s="769">
        <v>260</v>
      </c>
      <c r="H103" s="735"/>
      <c r="I103" s="306"/>
      <c r="J103" s="307"/>
      <c r="K103" s="308"/>
      <c r="L103" s="309"/>
      <c r="M103" s="310"/>
      <c r="N103" s="311"/>
      <c r="O103" s="314"/>
      <c r="P103" s="315"/>
      <c r="Q103" s="736"/>
      <c r="R103" s="549">
        <f t="shared" si="2"/>
        <v>0</v>
      </c>
      <c r="S103" s="299">
        <f t="shared" si="3"/>
        <v>0</v>
      </c>
    </row>
    <row r="104" spans="2:19" ht="18" customHeight="1" thickTop="1" thickBot="1" x14ac:dyDescent="0.4">
      <c r="B104" s="772">
        <v>2120</v>
      </c>
      <c r="C104" s="773" t="s">
        <v>355</v>
      </c>
      <c r="D104" s="774"/>
      <c r="E104" s="775"/>
      <c r="F104" s="776">
        <v>1</v>
      </c>
      <c r="G104" s="734">
        <v>280</v>
      </c>
      <c r="H104" s="777"/>
      <c r="I104" s="778"/>
      <c r="J104" s="779"/>
      <c r="K104" s="780"/>
      <c r="L104" s="781"/>
      <c r="M104" s="782"/>
      <c r="N104" s="783"/>
      <c r="O104" s="784"/>
      <c r="P104" s="785"/>
      <c r="Q104" s="786"/>
      <c r="R104" s="549">
        <f t="shared" si="2"/>
        <v>0</v>
      </c>
      <c r="S104" s="299">
        <f t="shared" si="3"/>
        <v>0</v>
      </c>
    </row>
    <row r="105" spans="2:19" ht="18" customHeight="1" thickTop="1" thickBot="1" x14ac:dyDescent="0.4">
      <c r="B105" s="787">
        <v>2121</v>
      </c>
      <c r="C105" s="788" t="s">
        <v>356</v>
      </c>
      <c r="D105" s="771"/>
      <c r="E105" s="789"/>
      <c r="F105" s="790">
        <v>1</v>
      </c>
      <c r="G105" s="791">
        <v>290</v>
      </c>
      <c r="H105" s="803"/>
      <c r="I105" s="793"/>
      <c r="J105" s="794"/>
      <c r="K105" s="795"/>
      <c r="L105" s="796"/>
      <c r="M105" s="797"/>
      <c r="N105" s="798"/>
      <c r="O105" s="799"/>
      <c r="P105" s="800"/>
      <c r="Q105" s="801"/>
      <c r="R105" s="549">
        <f t="shared" si="2"/>
        <v>0</v>
      </c>
      <c r="S105" s="299">
        <f t="shared" si="3"/>
        <v>0</v>
      </c>
    </row>
    <row r="106" spans="2:19" ht="18" customHeight="1" thickTop="1" thickBot="1" x14ac:dyDescent="0.4">
      <c r="B106" s="457">
        <v>2122</v>
      </c>
      <c r="C106" s="345" t="s">
        <v>357</v>
      </c>
      <c r="D106" s="767"/>
      <c r="E106" s="551"/>
      <c r="F106" s="458">
        <v>1</v>
      </c>
      <c r="G106" s="769">
        <v>340</v>
      </c>
      <c r="H106" s="735"/>
      <c r="I106" s="306"/>
      <c r="J106" s="307"/>
      <c r="K106" s="308"/>
      <c r="L106" s="309"/>
      <c r="M106" s="310"/>
      <c r="N106" s="311"/>
      <c r="O106" s="314"/>
      <c r="P106" s="315"/>
      <c r="Q106" s="736"/>
      <c r="R106" s="549">
        <f t="shared" si="2"/>
        <v>0</v>
      </c>
      <c r="S106" s="299">
        <f t="shared" si="3"/>
        <v>0</v>
      </c>
    </row>
    <row r="107" spans="2:19" ht="18" customHeight="1" thickTop="1" thickBot="1" x14ac:dyDescent="0.4">
      <c r="B107" s="804">
        <v>2123</v>
      </c>
      <c r="C107" s="409" t="s">
        <v>358</v>
      </c>
      <c r="D107" s="805"/>
      <c r="E107" s="806"/>
      <c r="F107" s="807">
        <v>22</v>
      </c>
      <c r="G107" s="808">
        <v>4500</v>
      </c>
      <c r="H107" s="809"/>
      <c r="I107" s="580"/>
      <c r="J107" s="810"/>
      <c r="K107" s="811"/>
      <c r="L107" s="812"/>
      <c r="M107" s="813"/>
      <c r="N107" s="585"/>
      <c r="O107" s="814"/>
      <c r="P107" s="815"/>
      <c r="Q107" s="816"/>
      <c r="R107" s="588">
        <f>(H107+I107+J107+K107+M107+L107+N107+O107+P107+Q107)*22</f>
        <v>0</v>
      </c>
      <c r="S107" s="400">
        <f t="shared" si="3"/>
        <v>0</v>
      </c>
    </row>
    <row r="108" spans="2:19" ht="8" customHeight="1" thickTop="1" thickBot="1" x14ac:dyDescent="0.5">
      <c r="B108" s="96"/>
      <c r="C108" s="97"/>
      <c r="D108" s="98"/>
      <c r="E108" s="96"/>
      <c r="F108" s="99"/>
      <c r="G108" s="100"/>
      <c r="H108" s="78"/>
      <c r="I108" s="79"/>
      <c r="J108" s="101"/>
      <c r="K108" s="81"/>
      <c r="L108" s="82"/>
      <c r="M108" s="83"/>
      <c r="N108" s="84"/>
      <c r="O108" s="85"/>
      <c r="P108" s="86"/>
      <c r="Q108" s="102"/>
      <c r="R108" s="87"/>
      <c r="S108" s="95"/>
    </row>
    <row r="109" spans="2:19" ht="18" customHeight="1" thickTop="1" thickBot="1" x14ac:dyDescent="0.4">
      <c r="B109" s="817">
        <v>2131</v>
      </c>
      <c r="C109" s="818" t="s">
        <v>359</v>
      </c>
      <c r="D109" s="819"/>
      <c r="E109" s="820"/>
      <c r="F109" s="821">
        <v>1</v>
      </c>
      <c r="G109" s="822">
        <v>140</v>
      </c>
      <c r="H109" s="595"/>
      <c r="I109" s="306"/>
      <c r="J109" s="307"/>
      <c r="K109" s="308"/>
      <c r="L109" s="309"/>
      <c r="M109" s="310"/>
      <c r="N109" s="311"/>
      <c r="O109" s="314"/>
      <c r="P109" s="315"/>
      <c r="Q109" s="736"/>
      <c r="R109" s="596">
        <f t="shared" ref="R109:R110" si="4">(H109+I109+J109+K109+M109+L109+N109+O109+P109+Q109)*1</f>
        <v>0</v>
      </c>
      <c r="S109" s="597">
        <f t="shared" ref="S109:S131" si="5">(H109+I109+J109+K109+L109+M109+N109+O109+P109+Q109)*G109</f>
        <v>0</v>
      </c>
    </row>
    <row r="110" spans="2:19" ht="18" customHeight="1" thickTop="1" thickBot="1" x14ac:dyDescent="0.4">
      <c r="B110" s="817">
        <v>2132</v>
      </c>
      <c r="C110" s="823" t="s">
        <v>360</v>
      </c>
      <c r="D110" s="824"/>
      <c r="E110" s="820"/>
      <c r="F110" s="821">
        <v>1</v>
      </c>
      <c r="G110" s="825">
        <v>140</v>
      </c>
      <c r="H110" s="735"/>
      <c r="I110" s="306"/>
      <c r="J110" s="307"/>
      <c r="K110" s="308"/>
      <c r="L110" s="309"/>
      <c r="M110" s="310"/>
      <c r="N110" s="311"/>
      <c r="O110" s="314"/>
      <c r="P110" s="315"/>
      <c r="Q110" s="736"/>
      <c r="R110" s="549">
        <f t="shared" si="4"/>
        <v>0</v>
      </c>
      <c r="S110" s="299">
        <f t="shared" si="5"/>
        <v>0</v>
      </c>
    </row>
    <row r="111" spans="2:19" ht="18" customHeight="1" thickTop="1" thickBot="1" x14ac:dyDescent="0.4">
      <c r="B111" s="826">
        <v>2133</v>
      </c>
      <c r="C111" s="827" t="s">
        <v>361</v>
      </c>
      <c r="D111" s="828"/>
      <c r="E111" s="829"/>
      <c r="F111" s="830">
        <v>1</v>
      </c>
      <c r="G111" s="831">
        <v>140</v>
      </c>
      <c r="H111" s="742"/>
      <c r="I111" s="743"/>
      <c r="J111" s="744"/>
      <c r="K111" s="745"/>
      <c r="L111" s="746"/>
      <c r="M111" s="747"/>
      <c r="N111" s="748"/>
      <c r="O111" s="749"/>
      <c r="P111" s="750"/>
      <c r="Q111" s="751"/>
      <c r="R111" s="549">
        <f>(H111+I111+J111+K111+M111+L111+N111+O111+P111+Q111)*1</f>
        <v>0</v>
      </c>
      <c r="S111" s="299">
        <f t="shared" si="5"/>
        <v>0</v>
      </c>
    </row>
    <row r="112" spans="2:19" ht="18" customHeight="1" thickTop="1" thickBot="1" x14ac:dyDescent="0.4">
      <c r="B112" s="832">
        <v>2134</v>
      </c>
      <c r="C112" s="818" t="s">
        <v>362</v>
      </c>
      <c r="D112" s="591"/>
      <c r="E112" s="833"/>
      <c r="F112" s="834">
        <v>1</v>
      </c>
      <c r="G112" s="835">
        <v>150</v>
      </c>
      <c r="H112" s="836"/>
      <c r="I112" s="758"/>
      <c r="J112" s="759"/>
      <c r="K112" s="760"/>
      <c r="L112" s="761"/>
      <c r="M112" s="762"/>
      <c r="N112" s="763"/>
      <c r="O112" s="764"/>
      <c r="P112" s="765"/>
      <c r="Q112" s="766"/>
      <c r="R112" s="549">
        <f t="shared" ref="R112:R130" si="6">(H112+I112+J112+K112+M112+L112+N112+O112+P112+Q112)*1</f>
        <v>0</v>
      </c>
      <c r="S112" s="299">
        <f t="shared" si="5"/>
        <v>0</v>
      </c>
    </row>
    <row r="113" spans="2:19" ht="18" customHeight="1" thickTop="1" thickBot="1" x14ac:dyDescent="0.4">
      <c r="B113" s="817">
        <v>2135</v>
      </c>
      <c r="C113" s="837" t="s">
        <v>363</v>
      </c>
      <c r="D113" s="819"/>
      <c r="E113" s="820"/>
      <c r="F113" s="821">
        <v>1</v>
      </c>
      <c r="G113" s="822">
        <v>150</v>
      </c>
      <c r="H113" s="305"/>
      <c r="I113" s="306"/>
      <c r="J113" s="307"/>
      <c r="K113" s="308"/>
      <c r="L113" s="309"/>
      <c r="M113" s="310"/>
      <c r="N113" s="311"/>
      <c r="O113" s="314"/>
      <c r="P113" s="315"/>
      <c r="Q113" s="736"/>
      <c r="R113" s="549">
        <f t="shared" si="6"/>
        <v>0</v>
      </c>
      <c r="S113" s="299">
        <f t="shared" si="5"/>
        <v>0</v>
      </c>
    </row>
    <row r="114" spans="2:19" ht="18" customHeight="1" thickTop="1" thickBot="1" x14ac:dyDescent="0.4">
      <c r="B114" s="826">
        <v>2136</v>
      </c>
      <c r="C114" s="838" t="s">
        <v>364</v>
      </c>
      <c r="D114" s="839"/>
      <c r="E114" s="829"/>
      <c r="F114" s="830">
        <v>1</v>
      </c>
      <c r="G114" s="831">
        <v>160</v>
      </c>
      <c r="H114" s="742"/>
      <c r="I114" s="743"/>
      <c r="J114" s="744"/>
      <c r="K114" s="745"/>
      <c r="L114" s="746"/>
      <c r="M114" s="747"/>
      <c r="N114" s="748"/>
      <c r="O114" s="749"/>
      <c r="P114" s="750"/>
      <c r="Q114" s="751"/>
      <c r="R114" s="549">
        <f t="shared" si="6"/>
        <v>0</v>
      </c>
      <c r="S114" s="299">
        <f t="shared" si="5"/>
        <v>0</v>
      </c>
    </row>
    <row r="115" spans="2:19" ht="18" customHeight="1" thickTop="1" thickBot="1" x14ac:dyDescent="0.4">
      <c r="B115" s="817">
        <v>2137</v>
      </c>
      <c r="C115" s="837" t="s">
        <v>365</v>
      </c>
      <c r="D115" s="840"/>
      <c r="E115" s="820"/>
      <c r="F115" s="821">
        <v>1</v>
      </c>
      <c r="G115" s="822">
        <v>160</v>
      </c>
      <c r="H115" s="735"/>
      <c r="I115" s="306"/>
      <c r="J115" s="307"/>
      <c r="K115" s="308"/>
      <c r="L115" s="309"/>
      <c r="M115" s="310"/>
      <c r="N115" s="311"/>
      <c r="O115" s="314"/>
      <c r="P115" s="315"/>
      <c r="Q115" s="736"/>
      <c r="R115" s="549">
        <f t="shared" si="6"/>
        <v>0</v>
      </c>
      <c r="S115" s="299">
        <f t="shared" si="5"/>
        <v>0</v>
      </c>
    </row>
    <row r="116" spans="2:19" ht="18" customHeight="1" thickTop="1" thickBot="1" x14ac:dyDescent="0.4">
      <c r="B116" s="817">
        <v>2138</v>
      </c>
      <c r="C116" s="837" t="s">
        <v>366</v>
      </c>
      <c r="D116" s="687"/>
      <c r="E116" s="820"/>
      <c r="F116" s="821">
        <v>1</v>
      </c>
      <c r="G116" s="822">
        <v>160</v>
      </c>
      <c r="H116" s="735"/>
      <c r="I116" s="306"/>
      <c r="J116" s="307"/>
      <c r="K116" s="308"/>
      <c r="L116" s="309"/>
      <c r="M116" s="310"/>
      <c r="N116" s="311"/>
      <c r="O116" s="314"/>
      <c r="P116" s="315"/>
      <c r="Q116" s="736"/>
      <c r="R116" s="549">
        <f t="shared" si="6"/>
        <v>0</v>
      </c>
      <c r="S116" s="299">
        <f t="shared" si="5"/>
        <v>0</v>
      </c>
    </row>
    <row r="117" spans="2:19" ht="18" customHeight="1" thickTop="1" thickBot="1" x14ac:dyDescent="0.4">
      <c r="B117" s="826">
        <v>2139</v>
      </c>
      <c r="C117" s="838" t="s">
        <v>367</v>
      </c>
      <c r="D117" s="839"/>
      <c r="E117" s="829"/>
      <c r="F117" s="830">
        <v>1</v>
      </c>
      <c r="G117" s="831">
        <v>160</v>
      </c>
      <c r="H117" s="742"/>
      <c r="I117" s="743"/>
      <c r="J117" s="744"/>
      <c r="K117" s="745"/>
      <c r="L117" s="746"/>
      <c r="M117" s="747"/>
      <c r="N117" s="748"/>
      <c r="O117" s="749"/>
      <c r="P117" s="750"/>
      <c r="Q117" s="751"/>
      <c r="R117" s="549">
        <f t="shared" si="6"/>
        <v>0</v>
      </c>
      <c r="S117" s="299">
        <f t="shared" si="5"/>
        <v>0</v>
      </c>
    </row>
    <row r="118" spans="2:19" ht="18" customHeight="1" thickTop="1" thickBot="1" x14ac:dyDescent="0.4">
      <c r="B118" s="817">
        <v>2140</v>
      </c>
      <c r="C118" s="837" t="s">
        <v>368</v>
      </c>
      <c r="D118" s="819"/>
      <c r="E118" s="820"/>
      <c r="F118" s="821">
        <v>1</v>
      </c>
      <c r="G118" s="822">
        <v>170</v>
      </c>
      <c r="H118" s="735"/>
      <c r="I118" s="306"/>
      <c r="J118" s="307"/>
      <c r="K118" s="308"/>
      <c r="L118" s="309"/>
      <c r="M118" s="310"/>
      <c r="N118" s="311"/>
      <c r="O118" s="314"/>
      <c r="P118" s="315"/>
      <c r="Q118" s="736"/>
      <c r="R118" s="549">
        <f t="shared" si="6"/>
        <v>0</v>
      </c>
      <c r="S118" s="299">
        <f t="shared" si="5"/>
        <v>0</v>
      </c>
    </row>
    <row r="119" spans="2:19" ht="18" customHeight="1" thickTop="1" thickBot="1" x14ac:dyDescent="0.4">
      <c r="B119" s="841">
        <v>2141</v>
      </c>
      <c r="C119" s="842" t="s">
        <v>369</v>
      </c>
      <c r="D119" s="843"/>
      <c r="E119" s="844"/>
      <c r="F119" s="845">
        <v>1</v>
      </c>
      <c r="G119" s="825">
        <v>190</v>
      </c>
      <c r="H119" s="777"/>
      <c r="I119" s="778"/>
      <c r="J119" s="779"/>
      <c r="K119" s="780"/>
      <c r="L119" s="781"/>
      <c r="M119" s="782"/>
      <c r="N119" s="783"/>
      <c r="O119" s="784"/>
      <c r="P119" s="785"/>
      <c r="Q119" s="786"/>
      <c r="R119" s="549">
        <f t="shared" si="6"/>
        <v>0</v>
      </c>
      <c r="S119" s="299">
        <f t="shared" si="5"/>
        <v>0</v>
      </c>
    </row>
    <row r="120" spans="2:19" ht="18" customHeight="1" thickTop="1" thickBot="1" x14ac:dyDescent="0.4">
      <c r="B120" s="826">
        <v>2142</v>
      </c>
      <c r="C120" s="838" t="s">
        <v>370</v>
      </c>
      <c r="D120" s="839"/>
      <c r="E120" s="829"/>
      <c r="F120" s="830">
        <v>1</v>
      </c>
      <c r="G120" s="831">
        <v>190</v>
      </c>
      <c r="H120" s="846"/>
      <c r="I120" s="743"/>
      <c r="J120" s="744"/>
      <c r="K120" s="745"/>
      <c r="L120" s="746"/>
      <c r="M120" s="747"/>
      <c r="N120" s="748"/>
      <c r="O120" s="749"/>
      <c r="P120" s="750"/>
      <c r="Q120" s="751"/>
      <c r="R120" s="549">
        <f t="shared" si="6"/>
        <v>0</v>
      </c>
      <c r="S120" s="299">
        <f t="shared" si="5"/>
        <v>0</v>
      </c>
    </row>
    <row r="121" spans="2:19" ht="18" customHeight="1" thickTop="1" thickBot="1" x14ac:dyDescent="0.4">
      <c r="B121" s="817">
        <v>2143</v>
      </c>
      <c r="C121" s="823" t="s">
        <v>371</v>
      </c>
      <c r="D121" s="819"/>
      <c r="E121" s="820"/>
      <c r="F121" s="821">
        <v>1</v>
      </c>
      <c r="G121" s="822">
        <v>190</v>
      </c>
      <c r="H121" s="595"/>
      <c r="I121" s="306"/>
      <c r="J121" s="307"/>
      <c r="K121" s="308"/>
      <c r="L121" s="309"/>
      <c r="M121" s="310"/>
      <c r="N121" s="311"/>
      <c r="O121" s="314"/>
      <c r="P121" s="315"/>
      <c r="Q121" s="736"/>
      <c r="R121" s="549">
        <f t="shared" si="6"/>
        <v>0</v>
      </c>
      <c r="S121" s="299">
        <f t="shared" si="5"/>
        <v>0</v>
      </c>
    </row>
    <row r="122" spans="2:19" ht="18" customHeight="1" thickTop="1" thickBot="1" x14ac:dyDescent="0.4">
      <c r="B122" s="841">
        <v>2144</v>
      </c>
      <c r="C122" s="842" t="s">
        <v>372</v>
      </c>
      <c r="D122" s="843"/>
      <c r="E122" s="844"/>
      <c r="F122" s="845">
        <v>1</v>
      </c>
      <c r="G122" s="825">
        <v>190</v>
      </c>
      <c r="H122" s="802"/>
      <c r="I122" s="778"/>
      <c r="J122" s="779"/>
      <c r="K122" s="780"/>
      <c r="L122" s="781"/>
      <c r="M122" s="782"/>
      <c r="N122" s="783"/>
      <c r="O122" s="784"/>
      <c r="P122" s="785"/>
      <c r="Q122" s="786"/>
      <c r="R122" s="549">
        <f t="shared" si="6"/>
        <v>0</v>
      </c>
      <c r="S122" s="299">
        <f t="shared" si="5"/>
        <v>0</v>
      </c>
    </row>
    <row r="123" spans="2:19" ht="18" customHeight="1" thickTop="1" thickBot="1" x14ac:dyDescent="0.4">
      <c r="B123" s="826">
        <v>2145</v>
      </c>
      <c r="C123" s="838" t="s">
        <v>373</v>
      </c>
      <c r="D123" s="839"/>
      <c r="E123" s="829"/>
      <c r="F123" s="830">
        <v>1</v>
      </c>
      <c r="G123" s="831">
        <v>200</v>
      </c>
      <c r="H123" s="742"/>
      <c r="I123" s="743"/>
      <c r="J123" s="744"/>
      <c r="K123" s="745"/>
      <c r="L123" s="746"/>
      <c r="M123" s="747"/>
      <c r="N123" s="748"/>
      <c r="O123" s="749"/>
      <c r="P123" s="750"/>
      <c r="Q123" s="751"/>
      <c r="R123" s="549">
        <f t="shared" si="6"/>
        <v>0</v>
      </c>
      <c r="S123" s="299">
        <f t="shared" si="5"/>
        <v>0</v>
      </c>
    </row>
    <row r="124" spans="2:19" ht="18" customHeight="1" thickTop="1" thickBot="1" x14ac:dyDescent="0.4">
      <c r="B124" s="817">
        <v>2146</v>
      </c>
      <c r="C124" s="837" t="s">
        <v>374</v>
      </c>
      <c r="D124" s="819"/>
      <c r="E124" s="820"/>
      <c r="F124" s="821">
        <v>1</v>
      </c>
      <c r="G124" s="822">
        <v>200</v>
      </c>
      <c r="H124" s="735"/>
      <c r="I124" s="306"/>
      <c r="J124" s="307"/>
      <c r="K124" s="308"/>
      <c r="L124" s="309"/>
      <c r="M124" s="310"/>
      <c r="N124" s="311"/>
      <c r="O124" s="314"/>
      <c r="P124" s="315"/>
      <c r="Q124" s="736"/>
      <c r="R124" s="549">
        <f t="shared" si="6"/>
        <v>0</v>
      </c>
      <c r="S124" s="299">
        <f t="shared" si="5"/>
        <v>0</v>
      </c>
    </row>
    <row r="125" spans="2:19" ht="18" customHeight="1" thickTop="1" thickBot="1" x14ac:dyDescent="0.4">
      <c r="B125" s="841">
        <v>2147</v>
      </c>
      <c r="C125" s="842" t="s">
        <v>375</v>
      </c>
      <c r="D125" s="843"/>
      <c r="E125" s="844"/>
      <c r="F125" s="845">
        <v>1</v>
      </c>
      <c r="G125" s="825">
        <v>200</v>
      </c>
      <c r="H125" s="777"/>
      <c r="I125" s="778"/>
      <c r="J125" s="779"/>
      <c r="K125" s="780"/>
      <c r="L125" s="781"/>
      <c r="M125" s="782"/>
      <c r="N125" s="783"/>
      <c r="O125" s="784"/>
      <c r="P125" s="785"/>
      <c r="Q125" s="786"/>
      <c r="R125" s="549">
        <f t="shared" si="6"/>
        <v>0</v>
      </c>
      <c r="S125" s="299">
        <f t="shared" si="5"/>
        <v>0</v>
      </c>
    </row>
    <row r="126" spans="2:19" ht="18" customHeight="1" thickTop="1" thickBot="1" x14ac:dyDescent="0.4">
      <c r="B126" s="826">
        <v>2148</v>
      </c>
      <c r="C126" s="838" t="s">
        <v>376</v>
      </c>
      <c r="D126" s="839"/>
      <c r="E126" s="829"/>
      <c r="F126" s="830">
        <v>1</v>
      </c>
      <c r="G126" s="831">
        <v>240</v>
      </c>
      <c r="H126" s="742"/>
      <c r="I126" s="743"/>
      <c r="J126" s="744"/>
      <c r="K126" s="745"/>
      <c r="L126" s="746"/>
      <c r="M126" s="747"/>
      <c r="N126" s="748"/>
      <c r="O126" s="749"/>
      <c r="P126" s="750"/>
      <c r="Q126" s="751"/>
      <c r="R126" s="549">
        <f t="shared" si="6"/>
        <v>0</v>
      </c>
      <c r="S126" s="299">
        <f t="shared" si="5"/>
        <v>0</v>
      </c>
    </row>
    <row r="127" spans="2:19" ht="18" customHeight="1" thickTop="1" thickBot="1" x14ac:dyDescent="0.4">
      <c r="B127" s="817">
        <v>2149</v>
      </c>
      <c r="C127" s="837" t="s">
        <v>377</v>
      </c>
      <c r="D127" s="819"/>
      <c r="E127" s="820"/>
      <c r="F127" s="821">
        <v>1</v>
      </c>
      <c r="G127" s="822">
        <v>240</v>
      </c>
      <c r="H127" s="735"/>
      <c r="I127" s="306"/>
      <c r="J127" s="307"/>
      <c r="K127" s="308"/>
      <c r="L127" s="309"/>
      <c r="M127" s="310"/>
      <c r="N127" s="311"/>
      <c r="O127" s="314"/>
      <c r="P127" s="315"/>
      <c r="Q127" s="736"/>
      <c r="R127" s="549">
        <f t="shared" si="6"/>
        <v>0</v>
      </c>
      <c r="S127" s="299">
        <f t="shared" si="5"/>
        <v>0</v>
      </c>
    </row>
    <row r="128" spans="2:19" ht="18" customHeight="1" thickTop="1" thickBot="1" x14ac:dyDescent="0.4">
      <c r="B128" s="841">
        <v>2150</v>
      </c>
      <c r="C128" s="842" t="s">
        <v>378</v>
      </c>
      <c r="D128" s="843"/>
      <c r="E128" s="844"/>
      <c r="F128" s="845">
        <v>1</v>
      </c>
      <c r="G128" s="825">
        <v>260</v>
      </c>
      <c r="H128" s="777"/>
      <c r="I128" s="778"/>
      <c r="J128" s="779"/>
      <c r="K128" s="780"/>
      <c r="L128" s="781"/>
      <c r="M128" s="782"/>
      <c r="N128" s="783"/>
      <c r="O128" s="784"/>
      <c r="P128" s="785"/>
      <c r="Q128" s="786"/>
      <c r="R128" s="549">
        <f t="shared" si="6"/>
        <v>0</v>
      </c>
      <c r="S128" s="299">
        <f t="shared" si="5"/>
        <v>0</v>
      </c>
    </row>
    <row r="129" spans="2:26" ht="18" customHeight="1" thickTop="1" thickBot="1" x14ac:dyDescent="0.4">
      <c r="B129" s="826">
        <v>2151</v>
      </c>
      <c r="C129" s="838" t="s">
        <v>379</v>
      </c>
      <c r="D129" s="839"/>
      <c r="E129" s="829"/>
      <c r="F129" s="830">
        <v>1</v>
      </c>
      <c r="G129" s="831">
        <v>270</v>
      </c>
      <c r="H129" s="742"/>
      <c r="I129" s="743"/>
      <c r="J129" s="744"/>
      <c r="K129" s="745"/>
      <c r="L129" s="746"/>
      <c r="M129" s="747"/>
      <c r="N129" s="748"/>
      <c r="O129" s="749"/>
      <c r="P129" s="750"/>
      <c r="Q129" s="751"/>
      <c r="R129" s="549">
        <f t="shared" si="6"/>
        <v>0</v>
      </c>
      <c r="S129" s="299">
        <f t="shared" si="5"/>
        <v>0</v>
      </c>
    </row>
    <row r="130" spans="2:26" ht="18" customHeight="1" thickTop="1" thickBot="1" x14ac:dyDescent="0.4">
      <c r="B130" s="817">
        <v>2152</v>
      </c>
      <c r="C130" s="837" t="s">
        <v>380</v>
      </c>
      <c r="D130" s="819"/>
      <c r="E130" s="820"/>
      <c r="F130" s="821">
        <v>1</v>
      </c>
      <c r="G130" s="822">
        <v>320</v>
      </c>
      <c r="H130" s="735"/>
      <c r="I130" s="306"/>
      <c r="J130" s="307"/>
      <c r="K130" s="308"/>
      <c r="L130" s="309"/>
      <c r="M130" s="310"/>
      <c r="N130" s="311"/>
      <c r="O130" s="314"/>
      <c r="P130" s="315"/>
      <c r="Q130" s="736"/>
      <c r="R130" s="549">
        <f t="shared" si="6"/>
        <v>0</v>
      </c>
      <c r="S130" s="299">
        <f t="shared" si="5"/>
        <v>0</v>
      </c>
    </row>
    <row r="131" spans="2:26" ht="18" customHeight="1" thickTop="1" thickBot="1" x14ac:dyDescent="0.4">
      <c r="B131" s="847">
        <v>2153</v>
      </c>
      <c r="C131" s="823" t="s">
        <v>381</v>
      </c>
      <c r="D131" s="824"/>
      <c r="E131" s="848"/>
      <c r="F131" s="849">
        <v>22</v>
      </c>
      <c r="G131" s="850">
        <v>4100</v>
      </c>
      <c r="H131" s="809"/>
      <c r="I131" s="580"/>
      <c r="J131" s="810"/>
      <c r="K131" s="811"/>
      <c r="L131" s="812"/>
      <c r="M131" s="813"/>
      <c r="N131" s="585"/>
      <c r="O131" s="814"/>
      <c r="P131" s="815"/>
      <c r="Q131" s="816"/>
      <c r="R131" s="588">
        <f>(H131+I131+J131+K131+M131+L131+N131+O131+P131+Q131)*22</f>
        <v>0</v>
      </c>
      <c r="S131" s="400">
        <f t="shared" si="5"/>
        <v>0</v>
      </c>
    </row>
    <row r="132" spans="2:26" ht="18" customHeight="1" thickTop="1" x14ac:dyDescent="0.45">
      <c r="B132" s="194"/>
      <c r="C132" s="195"/>
      <c r="D132" s="196"/>
      <c r="E132" s="194"/>
      <c r="F132" s="194"/>
      <c r="G132" s="197"/>
      <c r="H132" s="198"/>
      <c r="I132" s="199"/>
      <c r="J132" s="200"/>
      <c r="K132" s="201"/>
      <c r="L132" s="202"/>
      <c r="M132" s="203"/>
      <c r="N132" s="204"/>
      <c r="O132" s="205"/>
      <c r="P132" s="206"/>
      <c r="Q132" s="207"/>
      <c r="R132" s="208"/>
      <c r="S132" s="209"/>
    </row>
    <row r="133" spans="2:26" ht="18" customHeight="1" x14ac:dyDescent="0.35"/>
    <row r="134" spans="2:26" ht="88.5" customHeight="1" x14ac:dyDescent="0.35">
      <c r="B134" s="970"/>
      <c r="C134" s="971"/>
      <c r="D134" s="971"/>
      <c r="E134" s="971"/>
      <c r="F134" s="971"/>
      <c r="G134" s="971"/>
      <c r="H134" s="31" t="s">
        <v>81</v>
      </c>
      <c r="I134" s="65" t="s">
        <v>82</v>
      </c>
      <c r="J134" s="32" t="s">
        <v>83</v>
      </c>
      <c r="K134" s="33" t="s">
        <v>60</v>
      </c>
      <c r="L134" s="34" t="s">
        <v>61</v>
      </c>
      <c r="M134" s="35" t="s">
        <v>72</v>
      </c>
      <c r="N134" s="36" t="s">
        <v>84</v>
      </c>
      <c r="O134" s="39" t="s">
        <v>66</v>
      </c>
      <c r="P134" s="50" t="s">
        <v>67</v>
      </c>
      <c r="Q134" s="51" t="s">
        <v>85</v>
      </c>
      <c r="R134" s="52"/>
      <c r="S134" s="52"/>
      <c r="T134" s="52"/>
      <c r="U134" s="52"/>
      <c r="V134" s="52"/>
      <c r="W134" s="52"/>
      <c r="X134" s="52"/>
      <c r="Y134" s="970"/>
      <c r="Z134" s="971"/>
    </row>
    <row r="135" spans="2:26" ht="18" customHeight="1" x14ac:dyDescent="0.45">
      <c r="B135" s="970"/>
      <c r="C135" s="971"/>
      <c r="E135" s="1039" t="s">
        <v>86</v>
      </c>
      <c r="F135" s="998"/>
      <c r="G135" s="999"/>
      <c r="H135" s="537">
        <f>(H9*1)+H10+(H11*1)+(H12*1)+(H13*1)+H14+H15+H16+H17+(H18*1)+(H19*1)+(H20*1)+(H21*1)+(H22*1)+(H23*1)+(H24*1)+(H25*1)+(H26*1)+(H27*1)+(H28*1)+(H29*1)+(H30*1)+(H31*1)+(H32*23)+(H34*1)+H35+(H36*1)+(H37*1)+(H38*1)+H39+H40+H41+H42+(H43*1)+(H44*1)+(H45*1)+(H46*1)+(H47*1)+(H48*1)+(H49*1)+(H50*1)+(H51*1)+(H52*1)+(H53*1)+(H54*1)+(H55*1)+(H56*1)+(H57*23)+(H59*1+H60)+(H61*1)+(H62*1)+(H63*1)+H64+H65+H66+H67+(H68*1)+(H69*1)+(H70*1)+(H71*1)+(H72*1)+(H73*1)+(H74*1)+(H75*1)+(H76*1)+(H77*1)+(H78*1)+(H79*1)+(H80*1)+(H81*1)+(H82*23)+H85+H86+H87+H88+H89+H90+H91+H92+H93+H94+H95+H96+H97+H98+H99+H100+H101+H102+H103+H104+H105+H106+(H107*22)+H109+H110+H111+H112+H113+H114+H115+H116+H117+H118+H119+H120+H121+H122+H123+H124+H125+H126+H127+H128+H129+H130+(H131*22)</f>
        <v>0</v>
      </c>
      <c r="I135" s="537">
        <f t="shared" ref="I135:Q135" si="7">(I9*1)+I10+(I11*1)+(I12*1)+(I13*1)+I14+I15+I16+I17+(I18*1)+(I19*1)+(I20*1)+(I21*1)+(I22*1)+(I23*1)+(I24*1)+(I25*1)+(I26*1)+(I27*1)+(I28*1)+(I29*1)+(I30*1)+(I31*1)+(I32*23)+(I34*1)+I35+(I36*1)+(I37*1)+(I38*1)+I39+I40+I41+I42+(I43*1)+(I44*1)+(I45*1)+(I46*1)+(I47*1)+(I48*1)+(I49*1)+(I50*1)+(I51*1)+(I52*1)+(I53*1)+(I54*1)+(I55*1)+(I56*1)+(I57*23)+(I59*1+I60)+(I61*1)+(I62*1)+(I63*1)+I64+I65+I66+I67+(I68*1)+(I69*1)+(I70*1)+(I71*1)+(I72*1)+(I73*1)+(I74*1)+(I75*1)+(I76*1)+(I77*1)+(I78*1)+(I79*1)+(I80*1)+(I81*1)+(I82*23)+I85+I86+I87+I88+I89+I90+I91+I92+I93+I94+I95+I96+I97+I98+I99+I100+I101+I102+I103+I104+I105+I106+(I107*22)+I109+I110+I111+I112+I113+I114+I115+I116+I117+I118+I119+I120+I121+I122+I123+I124+I125+I126+I127+I128+I129+I130+(I131*22)</f>
        <v>0</v>
      </c>
      <c r="J135" s="537">
        <f t="shared" si="7"/>
        <v>0</v>
      </c>
      <c r="K135" s="537">
        <f t="shared" si="7"/>
        <v>0</v>
      </c>
      <c r="L135" s="537">
        <f t="shared" si="7"/>
        <v>0</v>
      </c>
      <c r="M135" s="537">
        <f t="shared" si="7"/>
        <v>0</v>
      </c>
      <c r="N135" s="537">
        <f t="shared" si="7"/>
        <v>0</v>
      </c>
      <c r="O135" s="537">
        <f t="shared" si="7"/>
        <v>0</v>
      </c>
      <c r="P135" s="537">
        <f t="shared" si="7"/>
        <v>0</v>
      </c>
      <c r="Q135" s="537">
        <f t="shared" si="7"/>
        <v>0</v>
      </c>
      <c r="R135" s="53"/>
      <c r="S135" s="53"/>
      <c r="T135" s="53"/>
      <c r="U135" s="53"/>
      <c r="V135" s="53"/>
      <c r="W135" s="53"/>
      <c r="X135" s="53"/>
      <c r="Y135" s="971"/>
      <c r="Z135" s="971"/>
    </row>
    <row r="136" spans="2:26" ht="18" customHeight="1" x14ac:dyDescent="0.45">
      <c r="B136" s="971"/>
      <c r="C136" s="971"/>
      <c r="E136" s="46"/>
      <c r="F136" s="46"/>
      <c r="G136" s="46"/>
      <c r="H136" s="1037" t="s">
        <v>76</v>
      </c>
      <c r="I136" s="1038"/>
      <c r="J136" s="1038"/>
      <c r="K136" s="1038"/>
      <c r="L136" s="1038"/>
      <c r="M136" s="1038"/>
      <c r="N136" s="1038"/>
      <c r="O136" s="1038"/>
      <c r="P136" s="1038"/>
      <c r="Q136" s="1038"/>
      <c r="R136" s="1038"/>
      <c r="S136" s="1038"/>
      <c r="T136" s="1038"/>
      <c r="U136" s="1038"/>
      <c r="V136" s="1038"/>
      <c r="W136" s="1038"/>
      <c r="X136" s="1038"/>
      <c r="Y136" s="971"/>
      <c r="Z136" s="971"/>
    </row>
    <row r="137" spans="2:26" ht="18" customHeight="1" x14ac:dyDescent="0.45">
      <c r="B137" s="971"/>
      <c r="C137" s="971"/>
      <c r="E137" s="46"/>
      <c r="F137" s="46"/>
      <c r="G137" s="46"/>
      <c r="H137" s="274"/>
      <c r="I137" s="275"/>
      <c r="J137" s="275"/>
      <c r="K137" s="275"/>
      <c r="L137" s="275"/>
      <c r="M137" s="27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971"/>
      <c r="Z137" s="971"/>
    </row>
    <row r="138" spans="2:26" ht="18" customHeight="1" x14ac:dyDescent="0.45">
      <c r="B138" s="971"/>
      <c r="C138" s="971"/>
      <c r="E138" s="1046" t="s">
        <v>138</v>
      </c>
      <c r="F138" s="994"/>
      <c r="G138" s="1047"/>
      <c r="H138" s="1044">
        <f>(R9*5)+(R10*5)+(R11*4)+(R12*6)+(R13*5)+(R14*5)+(R15*5)+(R16*5)+(R17*5)+(R18*5)+(R19*6)+(R20*6)+(R21*5)+(R22*6)+(R23*6)+(R24*7)+(R25*6)+(R26*7)+(R27*7)+(R28*7)+(R29*8)+(R30*9)+(R31*10)+(R32/23*140)+(R34*5)+(R35*5)+(R36*4)+(R37*6)+(R38*5)+(R39*5)+(R40*5)+(R41*5)+(R42*5)+(R43*5)+(R44*6)+(R45*6)+(R46*5)+(R47*6)+(R48*6)+(R49*7)+(R50*6)+(R51*7)+(R52*7)+(R53*7)+(R54*8)+(R55*9)+(R56*10)+(R57/23*140)+(R59*5)+(R60*5)+(R61*4)+(R62*6)+(R63*5)+(R64*5)+(R65*5)+(R66*5)+(R67*5)+(R68*5)+(R69*6)+(R70*6)+(R71*5)+(R72*6)+(R73*6)+(R74*7)+(R75*6)+(R76*7)+(R77*7)+(R78*7)+(R79*8)+(R80*9)+(R81*10)+(R82/23*140)+(R85*4)+(R86*5)+(R87*5)+(R88*5)+(R89*6)+(R90*5)+(R91*6)+(R92*6)+(R93*6)+(R94*6)+(R95*6)+(R96*6)+(R97*6)+(R98*6)+(R99*6)+(R100*6)+(R101*7)+(R102*6)+(R103*7)+(R104*7)+(R105*7)+(R106*6)+(R107/22*130)+(R109*4)+(R110*5)+(R111*5)+(R112*5)+(R113*6)+(R114*5)+(R115*6)+(R116*6)+(R117*6)+(R118*6)+(R119*6)+(R120*6)+(R121*6)+(R122*6)+(R123*6)+(R124*6)+(R125*7)+(R126*6)+(R127*7)+(R128*7)+(R129*7)+(R130*6)+(R131/22*130)</f>
        <v>0</v>
      </c>
      <c r="I138" s="1045"/>
      <c r="J138" s="275"/>
      <c r="K138" s="275"/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971"/>
      <c r="Z138" s="971"/>
    </row>
    <row r="139" spans="2:26" ht="18" customHeight="1" x14ac:dyDescent="0.35">
      <c r="B139" s="971"/>
      <c r="C139" s="97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971"/>
      <c r="Z139" s="971"/>
    </row>
    <row r="140" spans="2:26" ht="27.75" customHeight="1" x14ac:dyDescent="0.55000000000000004">
      <c r="B140" s="971"/>
      <c r="C140" s="971"/>
      <c r="E140" s="972" t="s">
        <v>77</v>
      </c>
      <c r="F140" s="973"/>
      <c r="G140" s="974"/>
      <c r="H140" s="972">
        <f>H135+I135+J135+K135+L135+M135+N135+O135+P135+Q135</f>
        <v>0</v>
      </c>
      <c r="I140" s="973"/>
      <c r="J140" s="973"/>
      <c r="K140" s="973"/>
      <c r="L140" s="974"/>
      <c r="M140" s="1"/>
      <c r="N140" s="1"/>
      <c r="O140" s="975"/>
      <c r="P140" s="976"/>
      <c r="Q140" s="976"/>
      <c r="R140" s="976"/>
      <c r="S140" s="977"/>
      <c r="T140" s="978"/>
      <c r="U140" s="976"/>
      <c r="V140" s="976"/>
      <c r="W140" s="976"/>
      <c r="X140" s="977"/>
      <c r="Y140" s="971"/>
      <c r="Z140" s="971"/>
    </row>
    <row r="141" spans="2:26" ht="27.75" customHeight="1" x14ac:dyDescent="0.55000000000000004">
      <c r="B141" s="971"/>
      <c r="C141" s="971"/>
      <c r="E141" s="972" t="s">
        <v>87</v>
      </c>
      <c r="F141" s="973"/>
      <c r="G141" s="974"/>
      <c r="H141" s="1029">
        <f>SUM(S9:S131)</f>
        <v>0</v>
      </c>
      <c r="I141" s="973"/>
      <c r="J141" s="973"/>
      <c r="K141" s="973"/>
      <c r="L141" s="97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971"/>
      <c r="Z141" s="971"/>
    </row>
    <row r="142" spans="2:26" ht="14.25" customHeight="1" x14ac:dyDescent="0.35">
      <c r="H142" s="1"/>
      <c r="I142" s="1028" t="s">
        <v>17</v>
      </c>
      <c r="J142" s="988"/>
      <c r="K142" s="988"/>
      <c r="L142" s="988"/>
    </row>
    <row r="143" spans="2:26" ht="14.25" customHeight="1" x14ac:dyDescent="0.35"/>
    <row r="144" spans="2:26" ht="14.25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4.25" hidden="1" customHeight="1" x14ac:dyDescent="0.35"/>
    <row r="1001" ht="14.25" hidden="1" customHeight="1" x14ac:dyDescent="0.35"/>
    <row r="1002" ht="14.25" hidden="1" customHeight="1" x14ac:dyDescent="0.35"/>
    <row r="1003" ht="14.25" hidden="1" customHeight="1" x14ac:dyDescent="0.35"/>
    <row r="1004" ht="14.25" hidden="1" customHeight="1" x14ac:dyDescent="0.35"/>
    <row r="1005" ht="14.25" hidden="1" customHeight="1" x14ac:dyDescent="0.35"/>
    <row r="1006" ht="14.25" hidden="1" customHeight="1" x14ac:dyDescent="0.35"/>
    <row r="1007" ht="14.25" hidden="1" customHeight="1" x14ac:dyDescent="0.35"/>
    <row r="1008" ht="14.25" hidden="1" customHeight="1" x14ac:dyDescent="0.35"/>
    <row r="1009" ht="14.25" hidden="1" customHeight="1" x14ac:dyDescent="0.35"/>
    <row r="1010" ht="14.25" hidden="1" customHeight="1" x14ac:dyDescent="0.35"/>
    <row r="1011" ht="14.25" hidden="1" customHeight="1" x14ac:dyDescent="0.35"/>
    <row r="1012" ht="14.25" hidden="1" customHeight="1" x14ac:dyDescent="0.35"/>
    <row r="1013" ht="14.25" hidden="1" customHeight="1" x14ac:dyDescent="0.35"/>
    <row r="1014" ht="14.25" hidden="1" customHeight="1" x14ac:dyDescent="0.35"/>
    <row r="1015" ht="14.25" hidden="1" customHeight="1" x14ac:dyDescent="0.35"/>
    <row r="1016" ht="14.25" hidden="1" customHeight="1" x14ac:dyDescent="0.35"/>
    <row r="1017" ht="14.25" hidden="1" customHeight="1" x14ac:dyDescent="0.35"/>
    <row r="1018" ht="14.25" hidden="1" customHeight="1" x14ac:dyDescent="0.35"/>
    <row r="1019" ht="14.25" hidden="1" customHeight="1" x14ac:dyDescent="0.35"/>
    <row r="1020" ht="14.25" hidden="1" customHeight="1" x14ac:dyDescent="0.35"/>
    <row r="1021" ht="14.25" hidden="1" customHeight="1" x14ac:dyDescent="0.35"/>
    <row r="1022" ht="14.25" hidden="1" customHeight="1" x14ac:dyDescent="0.35"/>
    <row r="1023" ht="14.25" hidden="1" customHeight="1" x14ac:dyDescent="0.35"/>
    <row r="1024" ht="14.25" hidden="1" customHeight="1" x14ac:dyDescent="0.35"/>
    <row r="1025" ht="14.25" hidden="1" customHeight="1" x14ac:dyDescent="0.35"/>
    <row r="1026" ht="14.25" hidden="1" customHeight="1" x14ac:dyDescent="0.35"/>
    <row r="1027" ht="14.25" hidden="1" customHeight="1" x14ac:dyDescent="0.35"/>
    <row r="1028" ht="14.25" hidden="1" customHeight="1" x14ac:dyDescent="0.35"/>
    <row r="1029" ht="14.25" hidden="1" customHeight="1" x14ac:dyDescent="0.35"/>
    <row r="1030" ht="14.25" hidden="1" customHeight="1" x14ac:dyDescent="0.35"/>
    <row r="1031" ht="14.25" hidden="1" customHeight="1" x14ac:dyDescent="0.35"/>
    <row r="1032" ht="14.25" hidden="1" customHeight="1" x14ac:dyDescent="0.35"/>
    <row r="1033" ht="14.25" hidden="1" customHeight="1" x14ac:dyDescent="0.35"/>
    <row r="1034" ht="14.25" hidden="1" customHeight="1" x14ac:dyDescent="0.35"/>
    <row r="1035" ht="14.25" hidden="1" customHeight="1" x14ac:dyDescent="0.35"/>
    <row r="1036" ht="14.25" hidden="1" customHeight="1" x14ac:dyDescent="0.35"/>
    <row r="1037" ht="14.25" hidden="1" customHeight="1" x14ac:dyDescent="0.35"/>
    <row r="1038" ht="14.25" hidden="1" customHeight="1" x14ac:dyDescent="0.35"/>
    <row r="1039" ht="14.25" hidden="1" customHeight="1" x14ac:dyDescent="0.35"/>
    <row r="1040" ht="14.25" hidden="1" customHeight="1" x14ac:dyDescent="0.35"/>
    <row r="1041" ht="14.25" hidden="1" customHeight="1" x14ac:dyDescent="0.35"/>
    <row r="1042" ht="14.25" hidden="1" customHeight="1" x14ac:dyDescent="0.35"/>
    <row r="1043" ht="14.25" hidden="1" customHeight="1" x14ac:dyDescent="0.35"/>
    <row r="1044" ht="14.25" hidden="1" customHeight="1" x14ac:dyDescent="0.35"/>
    <row r="1045" ht="14.25" hidden="1" customHeight="1" x14ac:dyDescent="0.35"/>
    <row r="1046" ht="14.25" hidden="1" customHeight="1" x14ac:dyDescent="0.35"/>
    <row r="1047" ht="14.25" hidden="1" customHeight="1" x14ac:dyDescent="0.35"/>
    <row r="1048" ht="14.25" hidden="1" customHeight="1" x14ac:dyDescent="0.35"/>
    <row r="1049" ht="14.25" hidden="1" customHeight="1" x14ac:dyDescent="0.35"/>
    <row r="1050" ht="14.25" hidden="1" customHeight="1" x14ac:dyDescent="0.35"/>
    <row r="1051" ht="14.25" hidden="1" customHeight="1" x14ac:dyDescent="0.35"/>
    <row r="1052" ht="14.25" hidden="1" customHeight="1" x14ac:dyDescent="0.35"/>
    <row r="1053" ht="14.25" hidden="1" customHeight="1" x14ac:dyDescent="0.35"/>
    <row r="1054" ht="14.25" hidden="1" customHeight="1" x14ac:dyDescent="0.35"/>
    <row r="1055" ht="14.25" hidden="1" customHeight="1" x14ac:dyDescent="0.35"/>
    <row r="1056" ht="14.25" hidden="1" customHeight="1" x14ac:dyDescent="0.35"/>
    <row r="1057" ht="14.25" hidden="1" customHeight="1" x14ac:dyDescent="0.35"/>
    <row r="1058" ht="14.25" hidden="1" customHeight="1" x14ac:dyDescent="0.35"/>
    <row r="1059" ht="14.25" hidden="1" customHeight="1" x14ac:dyDescent="0.35"/>
    <row r="1060" ht="14.25" hidden="1" customHeight="1" x14ac:dyDescent="0.35"/>
  </sheetData>
  <sheetProtection algorithmName="SHA-512" hashValue="Bwep0pXgm4joKx5xY8KhOt5v/ro6/Q7F2Y2I1QUrJNkCoKdlQFPib0nLa6Opad8oGWKfgde8Ms9tqEwIJEJCqQ==" saltValue="Ep/7Y7n74nz8tuztMtga7A==" spinCount="100000" sheet="1" objects="1" scenarios="1"/>
  <mergeCells count="32">
    <mergeCell ref="C7:D7"/>
    <mergeCell ref="R4:S4"/>
    <mergeCell ref="P5:S5"/>
    <mergeCell ref="P6:Q6"/>
    <mergeCell ref="R6:S6"/>
    <mergeCell ref="I4:K4"/>
    <mergeCell ref="L4:P4"/>
    <mergeCell ref="B8:G8"/>
    <mergeCell ref="H8:S8"/>
    <mergeCell ref="B134:G134"/>
    <mergeCell ref="B135:C141"/>
    <mergeCell ref="Y134:Z141"/>
    <mergeCell ref="H136:X136"/>
    <mergeCell ref="E135:G135"/>
    <mergeCell ref="E140:G140"/>
    <mergeCell ref="E141:G141"/>
    <mergeCell ref="B84:G84"/>
    <mergeCell ref="H84:S84"/>
    <mergeCell ref="H138:I138"/>
    <mergeCell ref="E138:G138"/>
    <mergeCell ref="N1:Q1"/>
    <mergeCell ref="I2:K2"/>
    <mergeCell ref="L2:P2"/>
    <mergeCell ref="R2:S2"/>
    <mergeCell ref="R3:S3"/>
    <mergeCell ref="I3:K3"/>
    <mergeCell ref="L3:P3"/>
    <mergeCell ref="I142:L142"/>
    <mergeCell ref="H141:L141"/>
    <mergeCell ref="H140:L140"/>
    <mergeCell ref="O140:S140"/>
    <mergeCell ref="T140:X140"/>
  </mergeCells>
  <dataValidations count="1">
    <dataValidation type="list" allowBlank="1" showErrorMessage="1" sqref="L4" xr:uid="{00000000-0002-0000-0200-000000000000}">
      <formula1>"NoScrews,WithScrews"</formula1>
    </dataValidation>
  </dataValidations>
  <pageMargins left="0.7" right="0.7" top="0.78740157499999996" bottom="0.78740157499999996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DA08-8388-4623-BE3A-404E24705BC2}">
  <dimension ref="A1:AA1011"/>
  <sheetViews>
    <sheetView showGridLines="0" zoomScale="60" zoomScaleNormal="60" workbookViewId="0">
      <pane xSplit="21" ySplit="7" topLeftCell="V8" activePane="bottomRight" state="frozen"/>
      <selection activeCell="L69" sqref="L69"/>
      <selection pane="topRight" activeCell="L69" sqref="L69"/>
      <selection pane="bottomLeft" activeCell="L69" sqref="L69"/>
      <selection pane="bottomRight" activeCell="G2" sqref="G2"/>
    </sheetView>
  </sheetViews>
  <sheetFormatPr baseColWidth="10" defaultColWidth="0" defaultRowHeight="15" customHeight="1" zeroHeight="1" x14ac:dyDescent="0.35"/>
  <cols>
    <col min="1" max="1" width="2.81640625" customWidth="1"/>
    <col min="2" max="2" width="12.36328125" bestFit="1" customWidth="1"/>
    <col min="3" max="3" width="52.81640625" customWidth="1"/>
    <col min="4" max="4" width="5.08984375" bestFit="1" customWidth="1"/>
    <col min="5" max="5" width="1.1796875" customWidth="1"/>
    <col min="6" max="6" width="13" customWidth="1"/>
    <col min="7" max="7" width="19.1796875" customWidth="1"/>
    <col min="8" max="16" width="5.6328125" customWidth="1"/>
    <col min="17" max="17" width="14.6328125" customWidth="1"/>
    <col min="18" max="18" width="15.1796875" customWidth="1"/>
    <col min="19" max="19" width="19.36328125" customWidth="1"/>
    <col min="20" max="26" width="10.6328125" hidden="1" customWidth="1"/>
    <col min="27" max="27" width="1.6328125" customWidth="1"/>
    <col min="28" max="16384" width="14.453125" hidden="1"/>
  </cols>
  <sheetData>
    <row r="1" spans="2:19" ht="12" customHeight="1" x14ac:dyDescent="0.55000000000000004">
      <c r="B1" s="1"/>
      <c r="C1" s="1"/>
      <c r="D1" s="1"/>
      <c r="E1" s="1"/>
      <c r="F1" s="1"/>
      <c r="G1" s="1"/>
      <c r="H1" s="1"/>
      <c r="I1" s="1"/>
      <c r="J1" s="6"/>
      <c r="K1" s="2"/>
      <c r="L1" s="2"/>
      <c r="M1" s="2"/>
      <c r="N1" s="997"/>
      <c r="O1" s="976"/>
      <c r="P1" s="976"/>
      <c r="Q1" s="47"/>
      <c r="R1" s="48"/>
    </row>
    <row r="2" spans="2:19" ht="21.75" customHeight="1" x14ac:dyDescent="0.55000000000000004">
      <c r="B2" s="1"/>
      <c r="C2" s="1"/>
      <c r="D2" s="1"/>
      <c r="E2" s="1"/>
      <c r="F2" s="1"/>
      <c r="G2" s="1"/>
      <c r="H2" s="57"/>
      <c r="I2" s="1050"/>
      <c r="J2" s="968"/>
      <c r="K2" s="968"/>
      <c r="L2" s="1051"/>
      <c r="M2" s="968"/>
      <c r="N2" s="968"/>
      <c r="O2" s="968"/>
      <c r="P2" s="968"/>
      <c r="Q2" s="1033" t="s">
        <v>102</v>
      </c>
      <c r="R2" s="1034"/>
      <c r="S2" s="538">
        <f>H91</f>
        <v>0</v>
      </c>
    </row>
    <row r="3" spans="2:19" ht="21.75" customHeight="1" x14ac:dyDescent="0.55000000000000004">
      <c r="B3" s="1"/>
      <c r="C3" s="1"/>
      <c r="D3" s="1"/>
      <c r="E3" s="1"/>
      <c r="F3" s="1"/>
      <c r="G3" s="1"/>
      <c r="H3" s="1054" t="s">
        <v>0</v>
      </c>
      <c r="I3" s="1055"/>
      <c r="J3" s="1056"/>
      <c r="K3" s="1057">
        <f ca="1">TODAY()</f>
        <v>46282</v>
      </c>
      <c r="L3" s="1055"/>
      <c r="M3" s="1055"/>
      <c r="N3" s="1055"/>
      <c r="O3" s="1056"/>
      <c r="P3" s="72"/>
      <c r="Q3" s="1052" t="s">
        <v>78</v>
      </c>
      <c r="R3" s="1053"/>
      <c r="S3" s="913">
        <f>(Q9*1.5)+(Q10*2.7)+(Q11*5.1)+(Q12*9)+(Q13*16.7)+(Q14*1.8)+(Q15*3.3)+(Q16*5.8)+(Q17*10.4)+(Q18*19)+(Q19*2.1)+(Q20*3.8)+(Q21*6.8)+(Q22*12.1)+(Q23*21.8)+((Q24*121.9)/15)+(Q26*1.5)+(Q27*2.7)+(Q28*5.1)+(Q29*9)+(Q30*16.7)+(Q31*1.8)+(Q32*3.3)+(Q33*5.8)+(Q34*10.4)+(Q35*19)+(Q36*2.1)+(Q37*3.8)+(Q38*6.8)+(Q39*12.1)+(Q40*21.8)+((Q41*121.9)/15)+((Q44*4.1)/7)+(Q45*2.2)+(Q46*3.6)+(Q47*5.5)+(Q48*8.8)+((Q49*24.2)/11)+((Q50*5.56)/7)+(Q51*2.9)+(Q52*4.7)+(Q53*6.9)+(Q54*11)+((Q55*31.06)/11)+((Q56*6.68)/7)+(Q57*3.7)+(Q58*5.8)+(Q59*9)+(Q60*14.3)+((Q61*39.48)/11)+((Q62*94.74)/33)+((Q64*4.1)/7)+(Q65*2.2)+(Q66*3.6)+(Q67*5.5)+(Q68*8.8)+((Q69*24.2)/11)+((Q70*5.56)/7)+(Q71*2.9)+(Q72*4.7)+(Q73*6.9)+(Q74*11)+((Q75*31.06)/11)+((Q76*6.68)/7)+(Q77*3.7)+(Q78*5.8)+(Q79*9)+(Q80*14.3)+((Q81*39.48)/11)+((Q82*94.74)/33)</f>
        <v>0</v>
      </c>
    </row>
    <row r="4" spans="2:19" ht="21.75" customHeight="1" x14ac:dyDescent="0.55000000000000004">
      <c r="B4" s="1"/>
      <c r="C4" s="1"/>
      <c r="D4" s="1"/>
      <c r="E4" s="1"/>
      <c r="F4" s="1"/>
      <c r="G4" s="1"/>
      <c r="H4" s="1"/>
      <c r="I4" s="1050"/>
      <c r="J4" s="968"/>
      <c r="K4" s="968"/>
      <c r="L4" s="1051"/>
      <c r="M4" s="968"/>
      <c r="N4" s="968"/>
      <c r="O4" s="968"/>
      <c r="P4" s="968"/>
      <c r="Q4" s="1033" t="s">
        <v>103</v>
      </c>
      <c r="R4" s="966"/>
      <c r="S4" s="539">
        <f>H92</f>
        <v>0</v>
      </c>
    </row>
    <row r="5" spans="2:19" ht="21.7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970"/>
      <c r="Q5" s="971"/>
      <c r="R5" s="971"/>
      <c r="S5" s="88" t="s">
        <v>17</v>
      </c>
    </row>
    <row r="6" spans="2:19" ht="14.25" customHeight="1" x14ac:dyDescent="0.35">
      <c r="B6" s="7"/>
      <c r="C6" s="7"/>
      <c r="D6" s="5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"/>
      <c r="Q6" s="1048"/>
      <c r="R6" s="1049"/>
    </row>
    <row r="7" spans="2:19" ht="69.75" customHeight="1" thickBot="1" x14ac:dyDescent="0.4">
      <c r="B7" s="8" t="s">
        <v>22</v>
      </c>
      <c r="C7" s="1001" t="s">
        <v>23</v>
      </c>
      <c r="D7" s="1002"/>
      <c r="E7" s="9"/>
      <c r="F7" s="74" t="s">
        <v>101</v>
      </c>
      <c r="G7" s="9" t="s">
        <v>13</v>
      </c>
      <c r="H7" s="109" t="s">
        <v>26</v>
      </c>
      <c r="I7" s="60" t="s">
        <v>27</v>
      </c>
      <c r="J7" s="61" t="s">
        <v>93</v>
      </c>
      <c r="K7" s="21" t="s">
        <v>79</v>
      </c>
      <c r="L7" s="62" t="s">
        <v>28</v>
      </c>
      <c r="M7" s="13" t="s">
        <v>29</v>
      </c>
      <c r="N7" s="16" t="s">
        <v>32</v>
      </c>
      <c r="O7" s="94" t="s">
        <v>31</v>
      </c>
      <c r="P7" s="63" t="s">
        <v>94</v>
      </c>
      <c r="Q7" s="73" t="s">
        <v>100</v>
      </c>
      <c r="R7" s="49" t="s">
        <v>44</v>
      </c>
    </row>
    <row r="8" spans="2:19" ht="42.75" customHeight="1" thickBot="1" x14ac:dyDescent="0.4">
      <c r="B8" s="1027" t="s">
        <v>111</v>
      </c>
      <c r="C8" s="1015"/>
      <c r="D8" s="1016"/>
      <c r="E8" s="1015"/>
      <c r="F8" s="1015"/>
      <c r="G8" s="1016"/>
      <c r="H8" s="1006"/>
      <c r="I8" s="1007"/>
      <c r="J8" s="1007"/>
      <c r="K8" s="1007"/>
      <c r="L8" s="1007"/>
      <c r="M8" s="1007"/>
      <c r="N8" s="1007"/>
      <c r="O8" s="1007"/>
      <c r="P8" s="1007"/>
      <c r="Q8" s="1007"/>
      <c r="R8" s="1008"/>
    </row>
    <row r="9" spans="2:19" ht="18" customHeight="1" thickTop="1" thickBot="1" x14ac:dyDescent="0.4">
      <c r="B9" s="276">
        <v>3001</v>
      </c>
      <c r="C9" s="540" t="s">
        <v>194</v>
      </c>
      <c r="D9" s="541"/>
      <c r="E9" s="542"/>
      <c r="F9" s="279">
        <v>1</v>
      </c>
      <c r="G9" s="280">
        <v>120</v>
      </c>
      <c r="H9" s="281"/>
      <c r="I9" s="282"/>
      <c r="J9" s="543"/>
      <c r="K9" s="544"/>
      <c r="L9" s="545"/>
      <c r="M9" s="546"/>
      <c r="N9" s="287"/>
      <c r="O9" s="547"/>
      <c r="P9" s="548"/>
      <c r="Q9" s="549">
        <f>(H9+I9+J9+K9+M9+L9+N9+O9+P9)*1</f>
        <v>0</v>
      </c>
      <c r="R9" s="299">
        <f>(H9+I9+J9+K9+L9+M9+N9+O9+P9)*G9</f>
        <v>0</v>
      </c>
    </row>
    <row r="10" spans="2:19" ht="18" customHeight="1" thickTop="1" thickBot="1" x14ac:dyDescent="0.4">
      <c r="B10" s="300">
        <v>3002</v>
      </c>
      <c r="C10" s="378" t="s">
        <v>195</v>
      </c>
      <c r="D10" s="550"/>
      <c r="E10" s="551"/>
      <c r="F10" s="303">
        <v>1</v>
      </c>
      <c r="G10" s="304">
        <v>160</v>
      </c>
      <c r="H10" s="305"/>
      <c r="I10" s="306"/>
      <c r="J10" s="552"/>
      <c r="K10" s="553"/>
      <c r="L10" s="554"/>
      <c r="M10" s="555"/>
      <c r="N10" s="311"/>
      <c r="O10" s="556"/>
      <c r="P10" s="557"/>
      <c r="Q10" s="549">
        <f t="shared" ref="Q10:Q23" si="0">(H10+I10+J10+K10+M10+L10+N10+O10+P10)*1</f>
        <v>0</v>
      </c>
      <c r="R10" s="299">
        <f t="shared" ref="R10:R24" si="1">(H10+I10+J10+K10+L10+M10+N10+O10+P10)*G10</f>
        <v>0</v>
      </c>
    </row>
    <row r="11" spans="2:19" ht="18" customHeight="1" thickTop="1" thickBot="1" x14ac:dyDescent="0.4">
      <c r="B11" s="322">
        <v>3003</v>
      </c>
      <c r="C11" s="323" t="s">
        <v>196</v>
      </c>
      <c r="D11" s="558"/>
      <c r="E11" s="559"/>
      <c r="F11" s="325">
        <v>1</v>
      </c>
      <c r="G11" s="326">
        <v>240</v>
      </c>
      <c r="H11" s="327"/>
      <c r="I11" s="328"/>
      <c r="J11" s="560"/>
      <c r="K11" s="561"/>
      <c r="L11" s="562"/>
      <c r="M11" s="563"/>
      <c r="N11" s="333"/>
      <c r="O11" s="564"/>
      <c r="P11" s="565"/>
      <c r="Q11" s="549">
        <f t="shared" si="0"/>
        <v>0</v>
      </c>
      <c r="R11" s="299">
        <f t="shared" si="1"/>
        <v>0</v>
      </c>
    </row>
    <row r="12" spans="2:19" ht="18" customHeight="1" thickTop="1" thickBot="1" x14ac:dyDescent="0.4">
      <c r="B12" s="300">
        <v>3004</v>
      </c>
      <c r="C12" s="345" t="s">
        <v>197</v>
      </c>
      <c r="D12" s="566"/>
      <c r="E12" s="551"/>
      <c r="F12" s="303">
        <v>1</v>
      </c>
      <c r="G12" s="346">
        <v>390</v>
      </c>
      <c r="H12" s="305"/>
      <c r="I12" s="306"/>
      <c r="J12" s="552"/>
      <c r="K12" s="553"/>
      <c r="L12" s="554"/>
      <c r="M12" s="555"/>
      <c r="N12" s="311"/>
      <c r="O12" s="556"/>
      <c r="P12" s="557"/>
      <c r="Q12" s="549">
        <f t="shared" si="0"/>
        <v>0</v>
      </c>
      <c r="R12" s="299">
        <f t="shared" si="1"/>
        <v>0</v>
      </c>
    </row>
    <row r="13" spans="2:19" ht="18" customHeight="1" thickTop="1" thickBot="1" x14ac:dyDescent="0.4">
      <c r="B13" s="300">
        <v>3005</v>
      </c>
      <c r="C13" s="301" t="s">
        <v>198</v>
      </c>
      <c r="D13" s="550"/>
      <c r="E13" s="551"/>
      <c r="F13" s="303">
        <v>1</v>
      </c>
      <c r="G13" s="346">
        <v>470</v>
      </c>
      <c r="H13" s="305"/>
      <c r="I13" s="306"/>
      <c r="J13" s="552"/>
      <c r="K13" s="553"/>
      <c r="L13" s="554"/>
      <c r="M13" s="555"/>
      <c r="N13" s="311"/>
      <c r="O13" s="556"/>
      <c r="P13" s="557"/>
      <c r="Q13" s="549">
        <f t="shared" si="0"/>
        <v>0</v>
      </c>
      <c r="R13" s="299">
        <f t="shared" si="1"/>
        <v>0</v>
      </c>
    </row>
    <row r="14" spans="2:19" ht="18" customHeight="1" thickTop="1" thickBot="1" x14ac:dyDescent="0.4">
      <c r="B14" s="322">
        <v>3006</v>
      </c>
      <c r="C14" s="323" t="s">
        <v>199</v>
      </c>
      <c r="D14" s="558"/>
      <c r="E14" s="559"/>
      <c r="F14" s="325">
        <v>1</v>
      </c>
      <c r="G14" s="326">
        <v>130</v>
      </c>
      <c r="H14" s="327"/>
      <c r="I14" s="328"/>
      <c r="J14" s="560"/>
      <c r="K14" s="561"/>
      <c r="L14" s="562"/>
      <c r="M14" s="563"/>
      <c r="N14" s="333"/>
      <c r="O14" s="564"/>
      <c r="P14" s="565"/>
      <c r="Q14" s="549">
        <f t="shared" si="0"/>
        <v>0</v>
      </c>
      <c r="R14" s="299">
        <f t="shared" si="1"/>
        <v>0</v>
      </c>
    </row>
    <row r="15" spans="2:19" ht="18" customHeight="1" thickTop="1" thickBot="1" x14ac:dyDescent="0.4">
      <c r="B15" s="300">
        <v>3007</v>
      </c>
      <c r="C15" s="345" t="s">
        <v>200</v>
      </c>
      <c r="D15" s="566"/>
      <c r="E15" s="551"/>
      <c r="F15" s="303">
        <v>1</v>
      </c>
      <c r="G15" s="346">
        <v>170</v>
      </c>
      <c r="H15" s="348"/>
      <c r="I15" s="306"/>
      <c r="J15" s="552"/>
      <c r="K15" s="553"/>
      <c r="L15" s="554"/>
      <c r="M15" s="555"/>
      <c r="N15" s="311"/>
      <c r="O15" s="556"/>
      <c r="P15" s="557"/>
      <c r="Q15" s="549">
        <f t="shared" si="0"/>
        <v>0</v>
      </c>
      <c r="R15" s="299">
        <f t="shared" si="1"/>
        <v>0</v>
      </c>
    </row>
    <row r="16" spans="2:19" ht="18" customHeight="1" thickTop="1" thickBot="1" x14ac:dyDescent="0.4">
      <c r="B16" s="349">
        <v>3008</v>
      </c>
      <c r="C16" s="378" t="s">
        <v>201</v>
      </c>
      <c r="D16" s="566"/>
      <c r="E16" s="567"/>
      <c r="F16" s="351">
        <v>1</v>
      </c>
      <c r="G16" s="352">
        <v>250</v>
      </c>
      <c r="H16" s="353"/>
      <c r="I16" s="354"/>
      <c r="J16" s="568"/>
      <c r="K16" s="569"/>
      <c r="L16" s="570"/>
      <c r="M16" s="571"/>
      <c r="N16" s="359"/>
      <c r="O16" s="572"/>
      <c r="P16" s="573"/>
      <c r="Q16" s="549">
        <f t="shared" si="0"/>
        <v>0</v>
      </c>
      <c r="R16" s="299">
        <f t="shared" si="1"/>
        <v>0</v>
      </c>
    </row>
    <row r="17" spans="2:18" ht="18" customHeight="1" thickTop="1" thickBot="1" x14ac:dyDescent="0.4">
      <c r="B17" s="322">
        <v>3009</v>
      </c>
      <c r="C17" s="323" t="s">
        <v>202</v>
      </c>
      <c r="D17" s="558"/>
      <c r="E17" s="559"/>
      <c r="F17" s="325">
        <v>1</v>
      </c>
      <c r="G17" s="326">
        <v>400</v>
      </c>
      <c r="H17" s="369"/>
      <c r="I17" s="328"/>
      <c r="J17" s="560"/>
      <c r="K17" s="561"/>
      <c r="L17" s="562"/>
      <c r="M17" s="563"/>
      <c r="N17" s="333"/>
      <c r="O17" s="564"/>
      <c r="P17" s="565"/>
      <c r="Q17" s="549">
        <f t="shared" si="0"/>
        <v>0</v>
      </c>
      <c r="R17" s="299">
        <f t="shared" si="1"/>
        <v>0</v>
      </c>
    </row>
    <row r="18" spans="2:18" ht="18" customHeight="1" thickTop="1" thickBot="1" x14ac:dyDescent="0.4">
      <c r="B18" s="370">
        <v>3010</v>
      </c>
      <c r="C18" s="345" t="s">
        <v>203</v>
      </c>
      <c r="D18" s="566"/>
      <c r="E18" s="551"/>
      <c r="F18" s="303">
        <v>1</v>
      </c>
      <c r="G18" s="346">
        <v>500</v>
      </c>
      <c r="H18" s="305"/>
      <c r="I18" s="306"/>
      <c r="J18" s="552"/>
      <c r="K18" s="553"/>
      <c r="L18" s="554"/>
      <c r="M18" s="555"/>
      <c r="N18" s="311"/>
      <c r="O18" s="556"/>
      <c r="P18" s="557"/>
      <c r="Q18" s="549">
        <f t="shared" si="0"/>
        <v>0</v>
      </c>
      <c r="R18" s="299">
        <f t="shared" si="1"/>
        <v>0</v>
      </c>
    </row>
    <row r="19" spans="2:18" ht="18" customHeight="1" thickTop="1" thickBot="1" x14ac:dyDescent="0.4">
      <c r="B19" s="349">
        <v>3011</v>
      </c>
      <c r="C19" s="301" t="s">
        <v>204</v>
      </c>
      <c r="D19" s="566"/>
      <c r="E19" s="567"/>
      <c r="F19" s="351">
        <v>1</v>
      </c>
      <c r="G19" s="352">
        <v>150</v>
      </c>
      <c r="H19" s="375"/>
      <c r="I19" s="354"/>
      <c r="J19" s="568"/>
      <c r="K19" s="569"/>
      <c r="L19" s="570"/>
      <c r="M19" s="571"/>
      <c r="N19" s="359"/>
      <c r="O19" s="572"/>
      <c r="P19" s="573"/>
      <c r="Q19" s="549">
        <f t="shared" si="0"/>
        <v>0</v>
      </c>
      <c r="R19" s="299">
        <f t="shared" si="1"/>
        <v>0</v>
      </c>
    </row>
    <row r="20" spans="2:18" ht="18" customHeight="1" thickTop="1" thickBot="1" x14ac:dyDescent="0.4">
      <c r="B20" s="322">
        <v>3012</v>
      </c>
      <c r="C20" s="323" t="s">
        <v>205</v>
      </c>
      <c r="D20" s="558"/>
      <c r="E20" s="559"/>
      <c r="F20" s="325">
        <v>1</v>
      </c>
      <c r="G20" s="326">
        <v>200</v>
      </c>
      <c r="H20" s="327"/>
      <c r="I20" s="328"/>
      <c r="J20" s="560"/>
      <c r="K20" s="561"/>
      <c r="L20" s="562"/>
      <c r="M20" s="563"/>
      <c r="N20" s="333"/>
      <c r="O20" s="564"/>
      <c r="P20" s="565"/>
      <c r="Q20" s="549">
        <f t="shared" si="0"/>
        <v>0</v>
      </c>
      <c r="R20" s="299">
        <f t="shared" si="1"/>
        <v>0</v>
      </c>
    </row>
    <row r="21" spans="2:18" ht="18" customHeight="1" thickTop="1" thickBot="1" x14ac:dyDescent="0.4">
      <c r="B21" s="300">
        <v>3013</v>
      </c>
      <c r="C21" s="345" t="s">
        <v>206</v>
      </c>
      <c r="D21" s="566"/>
      <c r="E21" s="551"/>
      <c r="F21" s="303">
        <v>1</v>
      </c>
      <c r="G21" s="346">
        <v>300</v>
      </c>
      <c r="H21" s="305"/>
      <c r="I21" s="306"/>
      <c r="J21" s="552"/>
      <c r="K21" s="553"/>
      <c r="L21" s="554"/>
      <c r="M21" s="555"/>
      <c r="N21" s="311"/>
      <c r="O21" s="556"/>
      <c r="P21" s="557"/>
      <c r="Q21" s="549">
        <f t="shared" si="0"/>
        <v>0</v>
      </c>
      <c r="R21" s="299">
        <f t="shared" si="1"/>
        <v>0</v>
      </c>
    </row>
    <row r="22" spans="2:18" ht="18" customHeight="1" thickTop="1" thickBot="1" x14ac:dyDescent="0.4">
      <c r="B22" s="349">
        <v>3014</v>
      </c>
      <c r="C22" s="301" t="s">
        <v>207</v>
      </c>
      <c r="D22" s="566"/>
      <c r="E22" s="567"/>
      <c r="F22" s="351">
        <v>1</v>
      </c>
      <c r="G22" s="352">
        <v>500</v>
      </c>
      <c r="H22" s="375"/>
      <c r="I22" s="354"/>
      <c r="J22" s="568"/>
      <c r="K22" s="569"/>
      <c r="L22" s="570"/>
      <c r="M22" s="571"/>
      <c r="N22" s="359"/>
      <c r="O22" s="572"/>
      <c r="P22" s="573"/>
      <c r="Q22" s="549">
        <f t="shared" si="0"/>
        <v>0</v>
      </c>
      <c r="R22" s="299">
        <f t="shared" si="1"/>
        <v>0</v>
      </c>
    </row>
    <row r="23" spans="2:18" ht="18" customHeight="1" thickTop="1" thickBot="1" x14ac:dyDescent="0.4">
      <c r="B23" s="322">
        <v>3015</v>
      </c>
      <c r="C23" s="323" t="s">
        <v>208</v>
      </c>
      <c r="D23" s="558"/>
      <c r="E23" s="559"/>
      <c r="F23" s="325">
        <v>1</v>
      </c>
      <c r="G23" s="326">
        <v>600</v>
      </c>
      <c r="H23" s="327"/>
      <c r="I23" s="328"/>
      <c r="J23" s="560"/>
      <c r="K23" s="561"/>
      <c r="L23" s="562"/>
      <c r="M23" s="563"/>
      <c r="N23" s="333"/>
      <c r="O23" s="564"/>
      <c r="P23" s="565"/>
      <c r="Q23" s="549">
        <f t="shared" si="0"/>
        <v>0</v>
      </c>
      <c r="R23" s="299">
        <f t="shared" si="1"/>
        <v>0</v>
      </c>
    </row>
    <row r="24" spans="2:18" ht="18" customHeight="1" thickTop="1" thickBot="1" x14ac:dyDescent="0.4">
      <c r="B24" s="574">
        <v>3016</v>
      </c>
      <c r="C24" s="475" t="s">
        <v>209</v>
      </c>
      <c r="D24" s="575"/>
      <c r="E24" s="576"/>
      <c r="F24" s="577">
        <v>15</v>
      </c>
      <c r="G24" s="578">
        <v>4500</v>
      </c>
      <c r="H24" s="579"/>
      <c r="I24" s="580"/>
      <c r="J24" s="581"/>
      <c r="K24" s="582"/>
      <c r="L24" s="583"/>
      <c r="M24" s="584"/>
      <c r="N24" s="585"/>
      <c r="O24" s="586"/>
      <c r="P24" s="587"/>
      <c r="Q24" s="588">
        <f>(H24+I24+J24+K24+M24+L24+N24+O24+P24)*15</f>
        <v>0</v>
      </c>
      <c r="R24" s="400">
        <f t="shared" si="1"/>
        <v>0</v>
      </c>
    </row>
    <row r="25" spans="2:18" ht="8" customHeight="1" thickTop="1" thickBot="1" x14ac:dyDescent="0.5">
      <c r="B25" s="76"/>
      <c r="C25" s="75"/>
      <c r="D25" s="93"/>
      <c r="E25" s="76"/>
      <c r="F25" s="76"/>
      <c r="G25" s="77"/>
      <c r="H25" s="78"/>
      <c r="I25" s="79"/>
      <c r="J25" s="80"/>
      <c r="K25" s="81"/>
      <c r="L25" s="82"/>
      <c r="M25" s="83"/>
      <c r="N25" s="84"/>
      <c r="O25" s="85"/>
      <c r="P25" s="86"/>
      <c r="Q25" s="87"/>
      <c r="R25" s="95"/>
    </row>
    <row r="26" spans="2:18" ht="18" customHeight="1" thickTop="1" thickBot="1" x14ac:dyDescent="0.4">
      <c r="B26" s="589">
        <v>3021</v>
      </c>
      <c r="C26" s="590" t="s">
        <v>210</v>
      </c>
      <c r="D26" s="591"/>
      <c r="E26" s="592"/>
      <c r="F26" s="593">
        <v>1</v>
      </c>
      <c r="G26" s="594">
        <v>108</v>
      </c>
      <c r="H26" s="595"/>
      <c r="I26" s="306"/>
      <c r="J26" s="552"/>
      <c r="K26" s="553"/>
      <c r="L26" s="554"/>
      <c r="M26" s="555"/>
      <c r="N26" s="311"/>
      <c r="O26" s="556"/>
      <c r="P26" s="557"/>
      <c r="Q26" s="596">
        <f>(H26+I26+J26+K26+M26+L26+N26+O26+P26)*1</f>
        <v>0</v>
      </c>
      <c r="R26" s="597">
        <f>(H26+I26+J26+K26+L26+M26+N26+O26+P26)*G26</f>
        <v>0</v>
      </c>
    </row>
    <row r="27" spans="2:18" ht="18" customHeight="1" thickTop="1" thickBot="1" x14ac:dyDescent="0.4">
      <c r="B27" s="598">
        <v>3022</v>
      </c>
      <c r="C27" s="599" t="s">
        <v>211</v>
      </c>
      <c r="D27" s="591"/>
      <c r="E27" s="592"/>
      <c r="F27" s="600">
        <v>1</v>
      </c>
      <c r="G27" s="601">
        <v>144</v>
      </c>
      <c r="H27" s="305"/>
      <c r="I27" s="306"/>
      <c r="J27" s="552"/>
      <c r="K27" s="553"/>
      <c r="L27" s="554"/>
      <c r="M27" s="555"/>
      <c r="N27" s="311"/>
      <c r="O27" s="556"/>
      <c r="P27" s="557"/>
      <c r="Q27" s="549">
        <f t="shared" ref="Q27:Q40" si="2">(H27+I27+J27+K27+M27+L27+N27+O27+P27)*1</f>
        <v>0</v>
      </c>
      <c r="R27" s="299">
        <f t="shared" ref="R27:R41" si="3">(H27+I27+J27+K27+L27+M27+N27+O27+P27)*G27</f>
        <v>0</v>
      </c>
    </row>
    <row r="28" spans="2:18" ht="18" customHeight="1" thickTop="1" thickBot="1" x14ac:dyDescent="0.4">
      <c r="B28" s="602">
        <v>3023</v>
      </c>
      <c r="C28" s="603" t="s">
        <v>212</v>
      </c>
      <c r="D28" s="604"/>
      <c r="E28" s="605"/>
      <c r="F28" s="606">
        <v>1</v>
      </c>
      <c r="G28" s="607">
        <v>216</v>
      </c>
      <c r="H28" s="327"/>
      <c r="I28" s="328"/>
      <c r="J28" s="560"/>
      <c r="K28" s="561"/>
      <c r="L28" s="562"/>
      <c r="M28" s="563"/>
      <c r="N28" s="333"/>
      <c r="O28" s="564"/>
      <c r="P28" s="565"/>
      <c r="Q28" s="549">
        <f t="shared" si="2"/>
        <v>0</v>
      </c>
      <c r="R28" s="299">
        <f t="shared" si="3"/>
        <v>0</v>
      </c>
    </row>
    <row r="29" spans="2:18" ht="18" customHeight="1" thickTop="1" thickBot="1" x14ac:dyDescent="0.4">
      <c r="B29" s="598">
        <v>3024</v>
      </c>
      <c r="C29" s="608" t="s">
        <v>213</v>
      </c>
      <c r="D29" s="591"/>
      <c r="E29" s="592"/>
      <c r="F29" s="600">
        <v>1</v>
      </c>
      <c r="G29" s="609">
        <v>351</v>
      </c>
      <c r="H29" s="305"/>
      <c r="I29" s="306"/>
      <c r="J29" s="552"/>
      <c r="K29" s="553"/>
      <c r="L29" s="554"/>
      <c r="M29" s="555"/>
      <c r="N29" s="311"/>
      <c r="O29" s="556"/>
      <c r="P29" s="557"/>
      <c r="Q29" s="549">
        <f t="shared" si="2"/>
        <v>0</v>
      </c>
      <c r="R29" s="299">
        <f t="shared" si="3"/>
        <v>0</v>
      </c>
    </row>
    <row r="30" spans="2:18" ht="18" customHeight="1" thickTop="1" thickBot="1" x14ac:dyDescent="0.4">
      <c r="B30" s="598">
        <v>3025</v>
      </c>
      <c r="C30" s="610" t="s">
        <v>214</v>
      </c>
      <c r="D30" s="591"/>
      <c r="E30" s="592"/>
      <c r="F30" s="600">
        <v>1</v>
      </c>
      <c r="G30" s="609">
        <v>423</v>
      </c>
      <c r="H30" s="305"/>
      <c r="I30" s="306"/>
      <c r="J30" s="552"/>
      <c r="K30" s="553"/>
      <c r="L30" s="554"/>
      <c r="M30" s="555"/>
      <c r="N30" s="311"/>
      <c r="O30" s="556"/>
      <c r="P30" s="557"/>
      <c r="Q30" s="549">
        <f t="shared" si="2"/>
        <v>0</v>
      </c>
      <c r="R30" s="299">
        <f t="shared" si="3"/>
        <v>0</v>
      </c>
    </row>
    <row r="31" spans="2:18" ht="18" customHeight="1" thickTop="1" thickBot="1" x14ac:dyDescent="0.4">
      <c r="B31" s="602">
        <v>3026</v>
      </c>
      <c r="C31" s="603" t="s">
        <v>215</v>
      </c>
      <c r="D31" s="604"/>
      <c r="E31" s="605"/>
      <c r="F31" s="606">
        <v>1</v>
      </c>
      <c r="G31" s="607">
        <v>117</v>
      </c>
      <c r="H31" s="327"/>
      <c r="I31" s="328"/>
      <c r="J31" s="560"/>
      <c r="K31" s="561"/>
      <c r="L31" s="562"/>
      <c r="M31" s="563"/>
      <c r="N31" s="333"/>
      <c r="O31" s="564"/>
      <c r="P31" s="565"/>
      <c r="Q31" s="549">
        <f t="shared" si="2"/>
        <v>0</v>
      </c>
      <c r="R31" s="299">
        <f t="shared" si="3"/>
        <v>0</v>
      </c>
    </row>
    <row r="32" spans="2:18" ht="18" customHeight="1" thickTop="1" thickBot="1" x14ac:dyDescent="0.4">
      <c r="B32" s="598">
        <v>3027</v>
      </c>
      <c r="C32" s="608" t="s">
        <v>216</v>
      </c>
      <c r="D32" s="591"/>
      <c r="E32" s="592"/>
      <c r="F32" s="600">
        <v>1</v>
      </c>
      <c r="G32" s="609">
        <v>153</v>
      </c>
      <c r="H32" s="348"/>
      <c r="I32" s="306"/>
      <c r="J32" s="552"/>
      <c r="K32" s="553"/>
      <c r="L32" s="554"/>
      <c r="M32" s="555"/>
      <c r="N32" s="311"/>
      <c r="O32" s="556"/>
      <c r="P32" s="557"/>
      <c r="Q32" s="549">
        <f t="shared" si="2"/>
        <v>0</v>
      </c>
      <c r="R32" s="299">
        <f t="shared" si="3"/>
        <v>0</v>
      </c>
    </row>
    <row r="33" spans="2:18" ht="18" customHeight="1" thickTop="1" thickBot="1" x14ac:dyDescent="0.4">
      <c r="B33" s="611">
        <v>3028</v>
      </c>
      <c r="C33" s="599" t="s">
        <v>217</v>
      </c>
      <c r="D33" s="591"/>
      <c r="E33" s="612"/>
      <c r="F33" s="613">
        <v>1</v>
      </c>
      <c r="G33" s="614">
        <v>225</v>
      </c>
      <c r="H33" s="353"/>
      <c r="I33" s="354"/>
      <c r="J33" s="568"/>
      <c r="K33" s="569"/>
      <c r="L33" s="570"/>
      <c r="M33" s="571"/>
      <c r="N33" s="359"/>
      <c r="O33" s="572"/>
      <c r="P33" s="573"/>
      <c r="Q33" s="549">
        <f t="shared" si="2"/>
        <v>0</v>
      </c>
      <c r="R33" s="299">
        <f t="shared" si="3"/>
        <v>0</v>
      </c>
    </row>
    <row r="34" spans="2:18" ht="18" customHeight="1" thickTop="1" thickBot="1" x14ac:dyDescent="0.4">
      <c r="B34" s="602">
        <v>3029</v>
      </c>
      <c r="C34" s="603" t="s">
        <v>218</v>
      </c>
      <c r="D34" s="604"/>
      <c r="E34" s="605"/>
      <c r="F34" s="606">
        <v>1</v>
      </c>
      <c r="G34" s="607">
        <v>360</v>
      </c>
      <c r="H34" s="369"/>
      <c r="I34" s="328"/>
      <c r="J34" s="560"/>
      <c r="K34" s="561"/>
      <c r="L34" s="562"/>
      <c r="M34" s="563"/>
      <c r="N34" s="333"/>
      <c r="O34" s="564"/>
      <c r="P34" s="565"/>
      <c r="Q34" s="549">
        <f t="shared" si="2"/>
        <v>0</v>
      </c>
      <c r="R34" s="299">
        <f t="shared" si="3"/>
        <v>0</v>
      </c>
    </row>
    <row r="35" spans="2:18" ht="18" customHeight="1" thickTop="1" thickBot="1" x14ac:dyDescent="0.4">
      <c r="B35" s="615">
        <v>3030</v>
      </c>
      <c r="C35" s="608" t="s">
        <v>219</v>
      </c>
      <c r="D35" s="591"/>
      <c r="E35" s="592"/>
      <c r="F35" s="600">
        <v>1</v>
      </c>
      <c r="G35" s="609">
        <v>450</v>
      </c>
      <c r="H35" s="305"/>
      <c r="I35" s="306"/>
      <c r="J35" s="552"/>
      <c r="K35" s="553"/>
      <c r="L35" s="554"/>
      <c r="M35" s="555"/>
      <c r="N35" s="311"/>
      <c r="O35" s="556"/>
      <c r="P35" s="557"/>
      <c r="Q35" s="549">
        <f t="shared" si="2"/>
        <v>0</v>
      </c>
      <c r="R35" s="299">
        <f t="shared" si="3"/>
        <v>0</v>
      </c>
    </row>
    <row r="36" spans="2:18" ht="18" customHeight="1" thickTop="1" thickBot="1" x14ac:dyDescent="0.4">
      <c r="B36" s="611">
        <v>3031</v>
      </c>
      <c r="C36" s="610" t="s">
        <v>220</v>
      </c>
      <c r="D36" s="591"/>
      <c r="E36" s="612"/>
      <c r="F36" s="613">
        <v>1</v>
      </c>
      <c r="G36" s="614">
        <v>135</v>
      </c>
      <c r="H36" s="375"/>
      <c r="I36" s="354"/>
      <c r="J36" s="568"/>
      <c r="K36" s="569"/>
      <c r="L36" s="570"/>
      <c r="M36" s="571"/>
      <c r="N36" s="359"/>
      <c r="O36" s="572"/>
      <c r="P36" s="573"/>
      <c r="Q36" s="549">
        <f t="shared" si="2"/>
        <v>0</v>
      </c>
      <c r="R36" s="299">
        <f t="shared" si="3"/>
        <v>0</v>
      </c>
    </row>
    <row r="37" spans="2:18" ht="18" customHeight="1" thickTop="1" thickBot="1" x14ac:dyDescent="0.4">
      <c r="B37" s="602">
        <v>3032</v>
      </c>
      <c r="C37" s="603" t="s">
        <v>221</v>
      </c>
      <c r="D37" s="604"/>
      <c r="E37" s="605"/>
      <c r="F37" s="606">
        <v>1</v>
      </c>
      <c r="G37" s="607">
        <v>180</v>
      </c>
      <c r="H37" s="327"/>
      <c r="I37" s="328"/>
      <c r="J37" s="560"/>
      <c r="K37" s="561"/>
      <c r="L37" s="562"/>
      <c r="M37" s="563"/>
      <c r="N37" s="333"/>
      <c r="O37" s="564"/>
      <c r="P37" s="565"/>
      <c r="Q37" s="549">
        <f t="shared" si="2"/>
        <v>0</v>
      </c>
      <c r="R37" s="299">
        <f t="shared" si="3"/>
        <v>0</v>
      </c>
    </row>
    <row r="38" spans="2:18" ht="18" customHeight="1" thickTop="1" thickBot="1" x14ac:dyDescent="0.4">
      <c r="B38" s="598">
        <v>3033</v>
      </c>
      <c r="C38" s="608" t="s">
        <v>222</v>
      </c>
      <c r="D38" s="591"/>
      <c r="E38" s="592"/>
      <c r="F38" s="600">
        <v>1</v>
      </c>
      <c r="G38" s="609">
        <v>270</v>
      </c>
      <c r="H38" s="305"/>
      <c r="I38" s="306"/>
      <c r="J38" s="552"/>
      <c r="K38" s="553"/>
      <c r="L38" s="554"/>
      <c r="M38" s="555"/>
      <c r="N38" s="311"/>
      <c r="O38" s="556"/>
      <c r="P38" s="557"/>
      <c r="Q38" s="549">
        <f t="shared" si="2"/>
        <v>0</v>
      </c>
      <c r="R38" s="299">
        <f t="shared" si="3"/>
        <v>0</v>
      </c>
    </row>
    <row r="39" spans="2:18" ht="18" customHeight="1" thickTop="1" thickBot="1" x14ac:dyDescent="0.4">
      <c r="B39" s="611">
        <v>3034</v>
      </c>
      <c r="C39" s="610" t="s">
        <v>223</v>
      </c>
      <c r="D39" s="591"/>
      <c r="E39" s="612"/>
      <c r="F39" s="613">
        <v>1</v>
      </c>
      <c r="G39" s="614">
        <v>450</v>
      </c>
      <c r="H39" s="375"/>
      <c r="I39" s="354"/>
      <c r="J39" s="568"/>
      <c r="K39" s="569"/>
      <c r="L39" s="570"/>
      <c r="M39" s="571"/>
      <c r="N39" s="359"/>
      <c r="O39" s="572"/>
      <c r="P39" s="573"/>
      <c r="Q39" s="549">
        <f t="shared" si="2"/>
        <v>0</v>
      </c>
      <c r="R39" s="299">
        <f t="shared" si="3"/>
        <v>0</v>
      </c>
    </row>
    <row r="40" spans="2:18" ht="18" customHeight="1" thickTop="1" thickBot="1" x14ac:dyDescent="0.4">
      <c r="B40" s="602">
        <v>3035</v>
      </c>
      <c r="C40" s="603" t="s">
        <v>224</v>
      </c>
      <c r="D40" s="604"/>
      <c r="E40" s="605"/>
      <c r="F40" s="606">
        <v>1</v>
      </c>
      <c r="G40" s="607">
        <v>540</v>
      </c>
      <c r="H40" s="327"/>
      <c r="I40" s="328"/>
      <c r="J40" s="560"/>
      <c r="K40" s="561"/>
      <c r="L40" s="562"/>
      <c r="M40" s="563"/>
      <c r="N40" s="333"/>
      <c r="O40" s="564"/>
      <c r="P40" s="565"/>
      <c r="Q40" s="549">
        <f t="shared" si="2"/>
        <v>0</v>
      </c>
      <c r="R40" s="299">
        <f t="shared" si="3"/>
        <v>0</v>
      </c>
    </row>
    <row r="41" spans="2:18" ht="18" customHeight="1" thickTop="1" thickBot="1" x14ac:dyDescent="0.4">
      <c r="B41" s="616">
        <v>3036</v>
      </c>
      <c r="C41" s="617" t="s">
        <v>225</v>
      </c>
      <c r="D41" s="618"/>
      <c r="E41" s="619"/>
      <c r="F41" s="620">
        <v>15</v>
      </c>
      <c r="G41" s="621">
        <v>4050</v>
      </c>
      <c r="H41" s="622"/>
      <c r="I41" s="414"/>
      <c r="J41" s="623"/>
      <c r="K41" s="624"/>
      <c r="L41" s="625"/>
      <c r="M41" s="626"/>
      <c r="N41" s="419"/>
      <c r="O41" s="627"/>
      <c r="P41" s="628"/>
      <c r="Q41" s="629">
        <f>(H41+I41+J41+K41+M41+L41+N41+O41+P41)*15</f>
        <v>0</v>
      </c>
      <c r="R41" s="452">
        <f t="shared" si="3"/>
        <v>0</v>
      </c>
    </row>
    <row r="42" spans="2:18" ht="18" customHeight="1" thickTop="1" thickBot="1" x14ac:dyDescent="0.4">
      <c r="D42" s="58"/>
    </row>
    <row r="43" spans="2:18" ht="42.75" customHeight="1" thickTop="1" thickBot="1" x14ac:dyDescent="0.4">
      <c r="B43" s="1040" t="s">
        <v>130</v>
      </c>
      <c r="C43" s="1041"/>
      <c r="D43" s="1041"/>
      <c r="E43" s="1041"/>
      <c r="F43" s="1041"/>
      <c r="G43" s="1041"/>
      <c r="H43" s="1042"/>
      <c r="I43" s="1041"/>
      <c r="J43" s="1041"/>
      <c r="K43" s="1041"/>
      <c r="L43" s="1041"/>
      <c r="M43" s="1041"/>
      <c r="N43" s="1041"/>
      <c r="O43" s="1041"/>
      <c r="P43" s="1041"/>
      <c r="Q43" s="1041"/>
      <c r="R43" s="1043"/>
    </row>
    <row r="44" spans="2:18" ht="18" customHeight="1" thickTop="1" thickBot="1" x14ac:dyDescent="0.4">
      <c r="B44" s="276">
        <v>3101</v>
      </c>
      <c r="C44" s="540" t="s">
        <v>226</v>
      </c>
      <c r="D44" s="541"/>
      <c r="E44" s="542"/>
      <c r="F44" s="279">
        <v>7</v>
      </c>
      <c r="G44" s="280">
        <v>450</v>
      </c>
      <c r="H44" s="281"/>
      <c r="I44" s="282"/>
      <c r="J44" s="543"/>
      <c r="K44" s="544"/>
      <c r="L44" s="545"/>
      <c r="M44" s="546"/>
      <c r="N44" s="287"/>
      <c r="O44" s="547"/>
      <c r="P44" s="548"/>
      <c r="Q44" s="549">
        <f>(H44+I44+J44+K44+M44+L44+N44+O44+P44)*7</f>
        <v>0</v>
      </c>
      <c r="R44" s="299">
        <f>(H44+I44+J44+K44+L44+M44+N44+O44+P44)*G44</f>
        <v>0</v>
      </c>
    </row>
    <row r="45" spans="2:18" ht="18" customHeight="1" thickTop="1" thickBot="1" x14ac:dyDescent="0.4">
      <c r="B45" s="300">
        <v>3102</v>
      </c>
      <c r="C45" s="378" t="s">
        <v>227</v>
      </c>
      <c r="D45" s="550"/>
      <c r="E45" s="551"/>
      <c r="F45" s="303">
        <v>1</v>
      </c>
      <c r="G45" s="304">
        <v>170</v>
      </c>
      <c r="H45" s="305"/>
      <c r="I45" s="306"/>
      <c r="J45" s="552"/>
      <c r="K45" s="553"/>
      <c r="L45" s="554"/>
      <c r="M45" s="555"/>
      <c r="N45" s="311"/>
      <c r="O45" s="556"/>
      <c r="P45" s="557"/>
      <c r="Q45" s="549">
        <f t="shared" ref="Q45:Q58" si="4">(H45+I45+J45+K45+M45+L45+N45+O45+P45)*1</f>
        <v>0</v>
      </c>
      <c r="R45" s="299">
        <f t="shared" ref="R45:R62" si="5">(H45+I45+J45+K45+L45+M45+N45+O45+P45)*G45</f>
        <v>0</v>
      </c>
    </row>
    <row r="46" spans="2:18" ht="18" customHeight="1" thickTop="1" thickBot="1" x14ac:dyDescent="0.4">
      <c r="B46" s="322">
        <v>3103</v>
      </c>
      <c r="C46" s="323" t="s">
        <v>228</v>
      </c>
      <c r="D46" s="558"/>
      <c r="E46" s="559"/>
      <c r="F46" s="325">
        <v>1</v>
      </c>
      <c r="G46" s="326">
        <v>230</v>
      </c>
      <c r="H46" s="327"/>
      <c r="I46" s="328"/>
      <c r="J46" s="560"/>
      <c r="K46" s="561"/>
      <c r="L46" s="562"/>
      <c r="M46" s="563"/>
      <c r="N46" s="333"/>
      <c r="O46" s="564"/>
      <c r="P46" s="565"/>
      <c r="Q46" s="549">
        <f t="shared" si="4"/>
        <v>0</v>
      </c>
      <c r="R46" s="299">
        <f t="shared" si="5"/>
        <v>0</v>
      </c>
    </row>
    <row r="47" spans="2:18" ht="18" customHeight="1" thickTop="1" thickBot="1" x14ac:dyDescent="0.4">
      <c r="B47" s="300">
        <v>3104</v>
      </c>
      <c r="C47" s="345" t="s">
        <v>229</v>
      </c>
      <c r="D47" s="566"/>
      <c r="E47" s="551"/>
      <c r="F47" s="303">
        <v>1</v>
      </c>
      <c r="G47" s="346">
        <v>290</v>
      </c>
      <c r="H47" s="305"/>
      <c r="I47" s="306"/>
      <c r="J47" s="552"/>
      <c r="K47" s="553"/>
      <c r="L47" s="554"/>
      <c r="M47" s="555"/>
      <c r="N47" s="311"/>
      <c r="O47" s="556"/>
      <c r="P47" s="557"/>
      <c r="Q47" s="549">
        <f t="shared" si="4"/>
        <v>0</v>
      </c>
      <c r="R47" s="299">
        <f t="shared" si="5"/>
        <v>0</v>
      </c>
    </row>
    <row r="48" spans="2:18" ht="18" customHeight="1" thickTop="1" thickBot="1" x14ac:dyDescent="0.4">
      <c r="B48" s="300">
        <v>3105</v>
      </c>
      <c r="C48" s="301" t="s">
        <v>230</v>
      </c>
      <c r="D48" s="550"/>
      <c r="E48" s="551"/>
      <c r="F48" s="303">
        <v>1</v>
      </c>
      <c r="G48" s="346">
        <v>370</v>
      </c>
      <c r="H48" s="305"/>
      <c r="I48" s="306"/>
      <c r="J48" s="552"/>
      <c r="K48" s="553"/>
      <c r="L48" s="554"/>
      <c r="M48" s="555"/>
      <c r="N48" s="311"/>
      <c r="O48" s="556"/>
      <c r="P48" s="557"/>
      <c r="Q48" s="549">
        <f t="shared" si="4"/>
        <v>0</v>
      </c>
      <c r="R48" s="299">
        <f t="shared" si="5"/>
        <v>0</v>
      </c>
    </row>
    <row r="49" spans="2:18" ht="18" customHeight="1" thickTop="1" thickBot="1" x14ac:dyDescent="0.4">
      <c r="B49" s="322">
        <v>3106</v>
      </c>
      <c r="C49" s="630" t="s">
        <v>231</v>
      </c>
      <c r="D49" s="558"/>
      <c r="E49" s="559"/>
      <c r="F49" s="325">
        <v>11</v>
      </c>
      <c r="G49" s="326">
        <v>1500</v>
      </c>
      <c r="H49" s="327"/>
      <c r="I49" s="328"/>
      <c r="J49" s="560"/>
      <c r="K49" s="561"/>
      <c r="L49" s="562"/>
      <c r="M49" s="563"/>
      <c r="N49" s="333"/>
      <c r="O49" s="564"/>
      <c r="P49" s="565"/>
      <c r="Q49" s="549">
        <f>(H49+I49+J49+K49+M49+L49+N49+O49+P49)*11</f>
        <v>0</v>
      </c>
      <c r="R49" s="299">
        <f t="shared" si="5"/>
        <v>0</v>
      </c>
    </row>
    <row r="50" spans="2:18" ht="18" customHeight="1" thickTop="1" thickBot="1" x14ac:dyDescent="0.4">
      <c r="B50" s="300">
        <v>3107</v>
      </c>
      <c r="C50" s="345" t="s">
        <v>232</v>
      </c>
      <c r="D50" s="566"/>
      <c r="E50" s="551"/>
      <c r="F50" s="303">
        <v>7</v>
      </c>
      <c r="G50" s="346">
        <v>500</v>
      </c>
      <c r="H50" s="348"/>
      <c r="I50" s="306"/>
      <c r="J50" s="552"/>
      <c r="K50" s="553"/>
      <c r="L50" s="554"/>
      <c r="M50" s="555"/>
      <c r="N50" s="311"/>
      <c r="O50" s="556"/>
      <c r="P50" s="557"/>
      <c r="Q50" s="549">
        <f>(H50+I50+J50+K50+M50+L50+N50+O50+P50)*7</f>
        <v>0</v>
      </c>
      <c r="R50" s="299">
        <f t="shared" si="5"/>
        <v>0</v>
      </c>
    </row>
    <row r="51" spans="2:18" ht="18" customHeight="1" thickTop="1" thickBot="1" x14ac:dyDescent="0.4">
      <c r="B51" s="349">
        <v>3108</v>
      </c>
      <c r="C51" s="378" t="s">
        <v>233</v>
      </c>
      <c r="D51" s="566"/>
      <c r="E51" s="567"/>
      <c r="F51" s="351">
        <v>1</v>
      </c>
      <c r="G51" s="352">
        <v>180</v>
      </c>
      <c r="H51" s="353"/>
      <c r="I51" s="354"/>
      <c r="J51" s="568"/>
      <c r="K51" s="569"/>
      <c r="L51" s="570"/>
      <c r="M51" s="571"/>
      <c r="N51" s="359"/>
      <c r="O51" s="572"/>
      <c r="P51" s="573"/>
      <c r="Q51" s="549">
        <f t="shared" si="4"/>
        <v>0</v>
      </c>
      <c r="R51" s="299">
        <f t="shared" si="5"/>
        <v>0</v>
      </c>
    </row>
    <row r="52" spans="2:18" ht="18" customHeight="1" thickTop="1" thickBot="1" x14ac:dyDescent="0.4">
      <c r="B52" s="322">
        <v>3109</v>
      </c>
      <c r="C52" s="323" t="s">
        <v>234</v>
      </c>
      <c r="D52" s="558"/>
      <c r="E52" s="559"/>
      <c r="F52" s="325">
        <v>1</v>
      </c>
      <c r="G52" s="326">
        <v>240</v>
      </c>
      <c r="H52" s="369"/>
      <c r="I52" s="328"/>
      <c r="J52" s="560"/>
      <c r="K52" s="561"/>
      <c r="L52" s="562"/>
      <c r="M52" s="563"/>
      <c r="N52" s="333"/>
      <c r="O52" s="564"/>
      <c r="P52" s="565"/>
      <c r="Q52" s="549">
        <f t="shared" si="4"/>
        <v>0</v>
      </c>
      <c r="R52" s="299">
        <f t="shared" si="5"/>
        <v>0</v>
      </c>
    </row>
    <row r="53" spans="2:18" ht="18" customHeight="1" thickTop="1" thickBot="1" x14ac:dyDescent="0.4">
      <c r="B53" s="370">
        <v>3110</v>
      </c>
      <c r="C53" s="345" t="s">
        <v>235</v>
      </c>
      <c r="D53" s="566"/>
      <c r="E53" s="551"/>
      <c r="F53" s="303">
        <v>1</v>
      </c>
      <c r="G53" s="346">
        <v>310</v>
      </c>
      <c r="H53" s="305"/>
      <c r="I53" s="306"/>
      <c r="J53" s="552"/>
      <c r="K53" s="553"/>
      <c r="L53" s="554"/>
      <c r="M53" s="555"/>
      <c r="N53" s="311"/>
      <c r="O53" s="556"/>
      <c r="P53" s="557"/>
      <c r="Q53" s="549">
        <f t="shared" si="4"/>
        <v>0</v>
      </c>
      <c r="R53" s="299">
        <f t="shared" si="5"/>
        <v>0</v>
      </c>
    </row>
    <row r="54" spans="2:18" ht="18" customHeight="1" thickTop="1" thickBot="1" x14ac:dyDescent="0.4">
      <c r="B54" s="349">
        <v>3111</v>
      </c>
      <c r="C54" s="301" t="s">
        <v>236</v>
      </c>
      <c r="D54" s="566"/>
      <c r="E54" s="567"/>
      <c r="F54" s="351">
        <v>1</v>
      </c>
      <c r="G54" s="352">
        <v>400</v>
      </c>
      <c r="H54" s="375"/>
      <c r="I54" s="354"/>
      <c r="J54" s="568"/>
      <c r="K54" s="569"/>
      <c r="L54" s="570"/>
      <c r="M54" s="571"/>
      <c r="N54" s="359"/>
      <c r="O54" s="572"/>
      <c r="P54" s="573"/>
      <c r="Q54" s="549">
        <f t="shared" si="4"/>
        <v>0</v>
      </c>
      <c r="R54" s="299">
        <f t="shared" si="5"/>
        <v>0</v>
      </c>
    </row>
    <row r="55" spans="2:18" ht="18" customHeight="1" thickTop="1" thickBot="1" x14ac:dyDescent="0.4">
      <c r="B55" s="322">
        <v>3112</v>
      </c>
      <c r="C55" s="323" t="s">
        <v>237</v>
      </c>
      <c r="D55" s="558"/>
      <c r="E55" s="559"/>
      <c r="F55" s="325">
        <v>11</v>
      </c>
      <c r="G55" s="326">
        <v>1650</v>
      </c>
      <c r="H55" s="327"/>
      <c r="I55" s="328"/>
      <c r="J55" s="560"/>
      <c r="K55" s="561"/>
      <c r="L55" s="562"/>
      <c r="M55" s="563"/>
      <c r="N55" s="333"/>
      <c r="O55" s="564"/>
      <c r="P55" s="565"/>
      <c r="Q55" s="549">
        <f>(H55+I55+J55+K55+M55+L55+N55+O55+P55)*11</f>
        <v>0</v>
      </c>
      <c r="R55" s="299">
        <f t="shared" si="5"/>
        <v>0</v>
      </c>
    </row>
    <row r="56" spans="2:18" ht="18" customHeight="1" thickTop="1" thickBot="1" x14ac:dyDescent="0.4">
      <c r="B56" s="300">
        <v>3113</v>
      </c>
      <c r="C56" s="345" t="s">
        <v>238</v>
      </c>
      <c r="D56" s="566"/>
      <c r="E56" s="551"/>
      <c r="F56" s="303">
        <v>7</v>
      </c>
      <c r="G56" s="346">
        <v>550</v>
      </c>
      <c r="H56" s="305"/>
      <c r="I56" s="306"/>
      <c r="J56" s="552"/>
      <c r="K56" s="553"/>
      <c r="L56" s="554"/>
      <c r="M56" s="555"/>
      <c r="N56" s="311"/>
      <c r="O56" s="556"/>
      <c r="P56" s="557"/>
      <c r="Q56" s="549">
        <f>(H56+I56+J56+K56+M56+L56+N56+O56+P56)*7</f>
        <v>0</v>
      </c>
      <c r="R56" s="299">
        <f t="shared" si="5"/>
        <v>0</v>
      </c>
    </row>
    <row r="57" spans="2:18" ht="18" customHeight="1" thickTop="1" thickBot="1" x14ac:dyDescent="0.4">
      <c r="B57" s="349">
        <v>3114</v>
      </c>
      <c r="C57" s="301" t="s">
        <v>239</v>
      </c>
      <c r="D57" s="566"/>
      <c r="E57" s="567"/>
      <c r="F57" s="351">
        <v>1</v>
      </c>
      <c r="G57" s="352">
        <v>200</v>
      </c>
      <c r="H57" s="375"/>
      <c r="I57" s="354"/>
      <c r="J57" s="568"/>
      <c r="K57" s="569"/>
      <c r="L57" s="570"/>
      <c r="M57" s="571"/>
      <c r="N57" s="359"/>
      <c r="O57" s="572"/>
      <c r="P57" s="573"/>
      <c r="Q57" s="549">
        <f t="shared" si="4"/>
        <v>0</v>
      </c>
      <c r="R57" s="299">
        <f t="shared" si="5"/>
        <v>0</v>
      </c>
    </row>
    <row r="58" spans="2:18" ht="18" customHeight="1" thickTop="1" thickBot="1" x14ac:dyDescent="0.4">
      <c r="B58" s="322">
        <v>3115</v>
      </c>
      <c r="C58" s="323" t="s">
        <v>240</v>
      </c>
      <c r="D58" s="558"/>
      <c r="E58" s="559"/>
      <c r="F58" s="325">
        <v>1</v>
      </c>
      <c r="G58" s="326">
        <v>290</v>
      </c>
      <c r="H58" s="327"/>
      <c r="I58" s="328"/>
      <c r="J58" s="560"/>
      <c r="K58" s="561"/>
      <c r="L58" s="562"/>
      <c r="M58" s="563"/>
      <c r="N58" s="333"/>
      <c r="O58" s="564"/>
      <c r="P58" s="565"/>
      <c r="Q58" s="549">
        <f t="shared" si="4"/>
        <v>0</v>
      </c>
      <c r="R58" s="299">
        <f t="shared" si="5"/>
        <v>0</v>
      </c>
    </row>
    <row r="59" spans="2:18" ht="18" customHeight="1" thickTop="1" thickBot="1" x14ac:dyDescent="0.4">
      <c r="B59" s="370">
        <v>3116</v>
      </c>
      <c r="C59" s="345" t="s">
        <v>241</v>
      </c>
      <c r="D59" s="631"/>
      <c r="E59" s="551"/>
      <c r="F59" s="458">
        <v>1</v>
      </c>
      <c r="G59" s="632">
        <v>360</v>
      </c>
      <c r="H59" s="633"/>
      <c r="I59" s="306"/>
      <c r="J59" s="552"/>
      <c r="K59" s="553"/>
      <c r="L59" s="554"/>
      <c r="M59" s="555"/>
      <c r="N59" s="311"/>
      <c r="O59" s="556"/>
      <c r="P59" s="634"/>
      <c r="Q59" s="629">
        <f>(H59+I59+J59+K59+M59+L59+N59+O59+P59)*1</f>
        <v>0</v>
      </c>
      <c r="R59" s="462">
        <f t="shared" si="5"/>
        <v>0</v>
      </c>
    </row>
    <row r="60" spans="2:18" ht="18" customHeight="1" thickTop="1" thickBot="1" x14ac:dyDescent="0.4">
      <c r="B60" s="635">
        <v>3117</v>
      </c>
      <c r="C60" s="301" t="s">
        <v>242</v>
      </c>
      <c r="D60" s="636"/>
      <c r="E60" s="567"/>
      <c r="F60" s="351">
        <v>1</v>
      </c>
      <c r="G60" s="637">
        <v>470</v>
      </c>
      <c r="H60" s="353"/>
      <c r="I60" s="354"/>
      <c r="J60" s="568"/>
      <c r="K60" s="569"/>
      <c r="L60" s="570"/>
      <c r="M60" s="571"/>
      <c r="N60" s="359"/>
      <c r="O60" s="572"/>
      <c r="P60" s="573"/>
      <c r="Q60" s="629">
        <f>(H60+I60+J60+K60+M60+L60+N60+O60+P60)*1</f>
        <v>0</v>
      </c>
      <c r="R60" s="462">
        <f t="shared" si="5"/>
        <v>0</v>
      </c>
    </row>
    <row r="61" spans="2:18" ht="18" customHeight="1" thickTop="1" thickBot="1" x14ac:dyDescent="0.4">
      <c r="B61" s="638">
        <v>3118</v>
      </c>
      <c r="C61" s="522" t="s">
        <v>243</v>
      </c>
      <c r="D61" s="639"/>
      <c r="E61" s="640"/>
      <c r="F61" s="641">
        <v>11</v>
      </c>
      <c r="G61" s="642">
        <v>1850</v>
      </c>
      <c r="H61" s="643"/>
      <c r="I61" s="644"/>
      <c r="J61" s="645"/>
      <c r="K61" s="646"/>
      <c r="L61" s="647"/>
      <c r="M61" s="648"/>
      <c r="N61" s="649"/>
      <c r="O61" s="650"/>
      <c r="P61" s="651"/>
      <c r="Q61" s="629">
        <f>(H61+I61+J61+K61+M61+L61+N61+O61+P61)*11</f>
        <v>0</v>
      </c>
      <c r="R61" s="462">
        <f t="shared" si="5"/>
        <v>0</v>
      </c>
    </row>
    <row r="62" spans="2:18" ht="18" customHeight="1" thickTop="1" thickBot="1" x14ac:dyDescent="0.4">
      <c r="B62" s="652">
        <v>3119</v>
      </c>
      <c r="C62" s="653" t="s">
        <v>244</v>
      </c>
      <c r="D62" s="654"/>
      <c r="E62" s="655"/>
      <c r="F62" s="656">
        <v>33</v>
      </c>
      <c r="G62" s="657">
        <v>5000</v>
      </c>
      <c r="H62" s="658"/>
      <c r="I62" s="659"/>
      <c r="J62" s="660"/>
      <c r="K62" s="661"/>
      <c r="L62" s="662"/>
      <c r="M62" s="663"/>
      <c r="N62" s="664"/>
      <c r="O62" s="665"/>
      <c r="P62" s="666"/>
      <c r="Q62" s="629">
        <f>(H62+I62+J62+K62+M62+L62+N62+O62+P62)*33</f>
        <v>0</v>
      </c>
      <c r="R62" s="667">
        <f t="shared" si="5"/>
        <v>0</v>
      </c>
    </row>
    <row r="63" spans="2:18" ht="8" customHeight="1" thickTop="1" thickBot="1" x14ac:dyDescent="0.5">
      <c r="B63" s="76"/>
      <c r="C63" s="75"/>
      <c r="D63" s="93"/>
      <c r="E63" s="76"/>
      <c r="F63" s="76"/>
      <c r="G63" s="77"/>
      <c r="H63" s="78"/>
      <c r="I63" s="79"/>
      <c r="J63" s="80"/>
      <c r="K63" s="81"/>
      <c r="L63" s="82"/>
      <c r="M63" s="83"/>
      <c r="N63" s="84"/>
      <c r="O63" s="85"/>
      <c r="P63" s="86"/>
      <c r="Q63" s="87"/>
      <c r="R63" s="95"/>
    </row>
    <row r="64" spans="2:18" ht="18" customHeight="1" thickTop="1" thickBot="1" x14ac:dyDescent="0.4">
      <c r="B64" s="589">
        <v>3121</v>
      </c>
      <c r="C64" s="590" t="s">
        <v>245</v>
      </c>
      <c r="D64" s="591"/>
      <c r="E64" s="592"/>
      <c r="F64" s="593">
        <v>7</v>
      </c>
      <c r="G64" s="594">
        <v>405</v>
      </c>
      <c r="H64" s="595"/>
      <c r="I64" s="306"/>
      <c r="J64" s="552"/>
      <c r="K64" s="553"/>
      <c r="L64" s="554"/>
      <c r="M64" s="555"/>
      <c r="N64" s="311"/>
      <c r="O64" s="556"/>
      <c r="P64" s="557"/>
      <c r="Q64" s="596">
        <f>(H64+I64+J64+K64+M64+L64+N64+O64+P64)*7</f>
        <v>0</v>
      </c>
      <c r="R64" s="597">
        <f>(H64+I64+J64+K64+L64+M64+N64+O64+P64)*G64</f>
        <v>0</v>
      </c>
    </row>
    <row r="65" spans="2:18" ht="18" customHeight="1" thickTop="1" thickBot="1" x14ac:dyDescent="0.4">
      <c r="B65" s="598">
        <v>3122</v>
      </c>
      <c r="C65" s="599" t="s">
        <v>246</v>
      </c>
      <c r="D65" s="591"/>
      <c r="E65" s="592"/>
      <c r="F65" s="600">
        <v>1</v>
      </c>
      <c r="G65" s="601">
        <v>153</v>
      </c>
      <c r="H65" s="305"/>
      <c r="I65" s="306"/>
      <c r="J65" s="552"/>
      <c r="K65" s="553"/>
      <c r="L65" s="554"/>
      <c r="M65" s="555"/>
      <c r="N65" s="311"/>
      <c r="O65" s="556"/>
      <c r="P65" s="557"/>
      <c r="Q65" s="549">
        <f t="shared" ref="Q65:Q78" si="6">(H65+I65+J65+K65+M65+L65+N65+O65+P65)*1</f>
        <v>0</v>
      </c>
      <c r="R65" s="299">
        <f t="shared" ref="R65:R82" si="7">(H65+I65+J65+K65+L65+M65+N65+O65+P65)*G65</f>
        <v>0</v>
      </c>
    </row>
    <row r="66" spans="2:18" ht="18" customHeight="1" thickTop="1" thickBot="1" x14ac:dyDescent="0.4">
      <c r="B66" s="602">
        <v>3123</v>
      </c>
      <c r="C66" s="603" t="s">
        <v>247</v>
      </c>
      <c r="D66" s="604"/>
      <c r="E66" s="605"/>
      <c r="F66" s="606">
        <v>1</v>
      </c>
      <c r="G66" s="607">
        <v>207</v>
      </c>
      <c r="H66" s="327"/>
      <c r="I66" s="328"/>
      <c r="J66" s="560"/>
      <c r="K66" s="561"/>
      <c r="L66" s="562"/>
      <c r="M66" s="563"/>
      <c r="N66" s="333"/>
      <c r="O66" s="564"/>
      <c r="P66" s="565"/>
      <c r="Q66" s="549">
        <f t="shared" si="6"/>
        <v>0</v>
      </c>
      <c r="R66" s="299">
        <f t="shared" si="7"/>
        <v>0</v>
      </c>
    </row>
    <row r="67" spans="2:18" ht="18" customHeight="1" thickTop="1" thickBot="1" x14ac:dyDescent="0.4">
      <c r="B67" s="598">
        <v>3124</v>
      </c>
      <c r="C67" s="608" t="s">
        <v>248</v>
      </c>
      <c r="D67" s="591"/>
      <c r="E67" s="592"/>
      <c r="F67" s="600">
        <v>1</v>
      </c>
      <c r="G67" s="609">
        <v>261</v>
      </c>
      <c r="H67" s="305"/>
      <c r="I67" s="306"/>
      <c r="J67" s="552"/>
      <c r="K67" s="553"/>
      <c r="L67" s="554"/>
      <c r="M67" s="555"/>
      <c r="N67" s="311"/>
      <c r="O67" s="556"/>
      <c r="P67" s="557"/>
      <c r="Q67" s="549">
        <f t="shared" si="6"/>
        <v>0</v>
      </c>
      <c r="R67" s="299">
        <f t="shared" si="7"/>
        <v>0</v>
      </c>
    </row>
    <row r="68" spans="2:18" ht="18" customHeight="1" thickTop="1" thickBot="1" x14ac:dyDescent="0.4">
      <c r="B68" s="598">
        <v>3125</v>
      </c>
      <c r="C68" s="610" t="s">
        <v>249</v>
      </c>
      <c r="D68" s="591"/>
      <c r="E68" s="592"/>
      <c r="F68" s="600">
        <v>1</v>
      </c>
      <c r="G68" s="609">
        <v>333</v>
      </c>
      <c r="H68" s="305"/>
      <c r="I68" s="306"/>
      <c r="J68" s="552"/>
      <c r="K68" s="553"/>
      <c r="L68" s="554"/>
      <c r="M68" s="555"/>
      <c r="N68" s="311"/>
      <c r="O68" s="556"/>
      <c r="P68" s="557"/>
      <c r="Q68" s="549">
        <f t="shared" si="6"/>
        <v>0</v>
      </c>
      <c r="R68" s="299">
        <f t="shared" si="7"/>
        <v>0</v>
      </c>
    </row>
    <row r="69" spans="2:18" ht="18" customHeight="1" thickTop="1" thickBot="1" x14ac:dyDescent="0.4">
      <c r="B69" s="602">
        <v>3126</v>
      </c>
      <c r="C69" s="603" t="s">
        <v>250</v>
      </c>
      <c r="D69" s="604"/>
      <c r="E69" s="605"/>
      <c r="F69" s="606">
        <v>11</v>
      </c>
      <c r="G69" s="607">
        <v>1350</v>
      </c>
      <c r="H69" s="327"/>
      <c r="I69" s="328"/>
      <c r="J69" s="560"/>
      <c r="K69" s="561"/>
      <c r="L69" s="562"/>
      <c r="M69" s="563"/>
      <c r="N69" s="333"/>
      <c r="O69" s="564"/>
      <c r="P69" s="565"/>
      <c r="Q69" s="549">
        <f>(H69+I69+J69+K69+M69+L69+N69+O69+P69)*11</f>
        <v>0</v>
      </c>
      <c r="R69" s="299">
        <f t="shared" si="7"/>
        <v>0</v>
      </c>
    </row>
    <row r="70" spans="2:18" ht="18" customHeight="1" thickTop="1" thickBot="1" x14ac:dyDescent="0.4">
      <c r="B70" s="598">
        <v>3127</v>
      </c>
      <c r="C70" s="608" t="s">
        <v>251</v>
      </c>
      <c r="D70" s="591"/>
      <c r="E70" s="592"/>
      <c r="F70" s="600">
        <v>7</v>
      </c>
      <c r="G70" s="609">
        <v>450</v>
      </c>
      <c r="H70" s="348"/>
      <c r="I70" s="306"/>
      <c r="J70" s="552"/>
      <c r="K70" s="553"/>
      <c r="L70" s="554"/>
      <c r="M70" s="555"/>
      <c r="N70" s="311"/>
      <c r="O70" s="556"/>
      <c r="P70" s="557"/>
      <c r="Q70" s="549">
        <f>(H70+I70+J70+K70+M70+L70+N70+O70+P70)*7</f>
        <v>0</v>
      </c>
      <c r="R70" s="299">
        <f t="shared" si="7"/>
        <v>0</v>
      </c>
    </row>
    <row r="71" spans="2:18" ht="18" customHeight="1" thickTop="1" thickBot="1" x14ac:dyDescent="0.4">
      <c r="B71" s="611">
        <v>3128</v>
      </c>
      <c r="C71" s="599" t="s">
        <v>252</v>
      </c>
      <c r="D71" s="591"/>
      <c r="E71" s="612"/>
      <c r="F71" s="613">
        <v>1</v>
      </c>
      <c r="G71" s="614">
        <v>162</v>
      </c>
      <c r="H71" s="353"/>
      <c r="I71" s="354"/>
      <c r="J71" s="568"/>
      <c r="K71" s="569"/>
      <c r="L71" s="570"/>
      <c r="M71" s="571"/>
      <c r="N71" s="359"/>
      <c r="O71" s="572"/>
      <c r="P71" s="573"/>
      <c r="Q71" s="549">
        <f t="shared" si="6"/>
        <v>0</v>
      </c>
      <c r="R71" s="299">
        <f t="shared" si="7"/>
        <v>0</v>
      </c>
    </row>
    <row r="72" spans="2:18" ht="18" customHeight="1" thickTop="1" thickBot="1" x14ac:dyDescent="0.4">
      <c r="B72" s="602">
        <v>3129</v>
      </c>
      <c r="C72" s="603" t="s">
        <v>253</v>
      </c>
      <c r="D72" s="604"/>
      <c r="E72" s="605"/>
      <c r="F72" s="606">
        <v>1</v>
      </c>
      <c r="G72" s="607">
        <v>216</v>
      </c>
      <c r="H72" s="369"/>
      <c r="I72" s="328"/>
      <c r="J72" s="560"/>
      <c r="K72" s="561"/>
      <c r="L72" s="562"/>
      <c r="M72" s="563"/>
      <c r="N72" s="333"/>
      <c r="O72" s="564"/>
      <c r="P72" s="565"/>
      <c r="Q72" s="549">
        <f t="shared" si="6"/>
        <v>0</v>
      </c>
      <c r="R72" s="299">
        <f t="shared" si="7"/>
        <v>0</v>
      </c>
    </row>
    <row r="73" spans="2:18" ht="18" customHeight="1" thickTop="1" thickBot="1" x14ac:dyDescent="0.4">
      <c r="B73" s="615">
        <v>3130</v>
      </c>
      <c r="C73" s="608" t="s">
        <v>254</v>
      </c>
      <c r="D73" s="591"/>
      <c r="E73" s="592"/>
      <c r="F73" s="600">
        <v>1</v>
      </c>
      <c r="G73" s="609">
        <v>279</v>
      </c>
      <c r="H73" s="305"/>
      <c r="I73" s="306"/>
      <c r="J73" s="552"/>
      <c r="K73" s="553"/>
      <c r="L73" s="554"/>
      <c r="M73" s="555"/>
      <c r="N73" s="311"/>
      <c r="O73" s="556"/>
      <c r="P73" s="557"/>
      <c r="Q73" s="549">
        <f t="shared" si="6"/>
        <v>0</v>
      </c>
      <c r="R73" s="299">
        <f t="shared" si="7"/>
        <v>0</v>
      </c>
    </row>
    <row r="74" spans="2:18" ht="18" customHeight="1" thickTop="1" thickBot="1" x14ac:dyDescent="0.4">
      <c r="B74" s="611">
        <v>3131</v>
      </c>
      <c r="C74" s="610" t="s">
        <v>255</v>
      </c>
      <c r="D74" s="591"/>
      <c r="E74" s="612"/>
      <c r="F74" s="613">
        <v>1</v>
      </c>
      <c r="G74" s="614">
        <v>360</v>
      </c>
      <c r="H74" s="375"/>
      <c r="I74" s="354"/>
      <c r="J74" s="568"/>
      <c r="K74" s="569"/>
      <c r="L74" s="570"/>
      <c r="M74" s="571"/>
      <c r="N74" s="359"/>
      <c r="O74" s="572"/>
      <c r="P74" s="573"/>
      <c r="Q74" s="549">
        <f t="shared" si="6"/>
        <v>0</v>
      </c>
      <c r="R74" s="299">
        <f t="shared" si="7"/>
        <v>0</v>
      </c>
    </row>
    <row r="75" spans="2:18" ht="18" customHeight="1" thickTop="1" thickBot="1" x14ac:dyDescent="0.4">
      <c r="B75" s="602">
        <v>3132</v>
      </c>
      <c r="C75" s="603" t="s">
        <v>256</v>
      </c>
      <c r="D75" s="604"/>
      <c r="E75" s="605"/>
      <c r="F75" s="606">
        <v>11</v>
      </c>
      <c r="G75" s="607">
        <v>1485</v>
      </c>
      <c r="H75" s="327"/>
      <c r="I75" s="328"/>
      <c r="J75" s="560"/>
      <c r="K75" s="561"/>
      <c r="L75" s="562"/>
      <c r="M75" s="563"/>
      <c r="N75" s="333"/>
      <c r="O75" s="564"/>
      <c r="P75" s="565"/>
      <c r="Q75" s="549">
        <f>(H75+I75+J75+K75+M75+L75+N75+O75+P75)*11</f>
        <v>0</v>
      </c>
      <c r="R75" s="299">
        <f t="shared" si="7"/>
        <v>0</v>
      </c>
    </row>
    <row r="76" spans="2:18" ht="18" customHeight="1" thickTop="1" thickBot="1" x14ac:dyDescent="0.4">
      <c r="B76" s="598">
        <v>3133</v>
      </c>
      <c r="C76" s="608" t="s">
        <v>257</v>
      </c>
      <c r="D76" s="591"/>
      <c r="E76" s="592"/>
      <c r="F76" s="600">
        <v>7</v>
      </c>
      <c r="G76" s="609">
        <v>495</v>
      </c>
      <c r="H76" s="305"/>
      <c r="I76" s="306"/>
      <c r="J76" s="552"/>
      <c r="K76" s="553"/>
      <c r="L76" s="554"/>
      <c r="M76" s="555"/>
      <c r="N76" s="311"/>
      <c r="O76" s="556"/>
      <c r="P76" s="557"/>
      <c r="Q76" s="549">
        <f>(H76+I76+J76+K76+M76+L76+N76+O76+P76)*7</f>
        <v>0</v>
      </c>
      <c r="R76" s="299">
        <f t="shared" si="7"/>
        <v>0</v>
      </c>
    </row>
    <row r="77" spans="2:18" ht="18" customHeight="1" thickTop="1" thickBot="1" x14ac:dyDescent="0.4">
      <c r="B77" s="611">
        <v>3134</v>
      </c>
      <c r="C77" s="610" t="s">
        <v>258</v>
      </c>
      <c r="D77" s="591"/>
      <c r="E77" s="612"/>
      <c r="F77" s="613">
        <v>1</v>
      </c>
      <c r="G77" s="614">
        <v>180</v>
      </c>
      <c r="H77" s="375"/>
      <c r="I77" s="354"/>
      <c r="J77" s="568"/>
      <c r="K77" s="569"/>
      <c r="L77" s="570"/>
      <c r="M77" s="571"/>
      <c r="N77" s="359"/>
      <c r="O77" s="572"/>
      <c r="P77" s="573"/>
      <c r="Q77" s="549">
        <f t="shared" si="6"/>
        <v>0</v>
      </c>
      <c r="R77" s="299">
        <f t="shared" si="7"/>
        <v>0</v>
      </c>
    </row>
    <row r="78" spans="2:18" ht="18" customHeight="1" thickTop="1" thickBot="1" x14ac:dyDescent="0.4">
      <c r="B78" s="602">
        <v>3135</v>
      </c>
      <c r="C78" s="603" t="s">
        <v>259</v>
      </c>
      <c r="D78" s="604"/>
      <c r="E78" s="605"/>
      <c r="F78" s="606">
        <v>1</v>
      </c>
      <c r="G78" s="607">
        <v>261</v>
      </c>
      <c r="H78" s="327"/>
      <c r="I78" s="328"/>
      <c r="J78" s="560"/>
      <c r="K78" s="561"/>
      <c r="L78" s="562"/>
      <c r="M78" s="563"/>
      <c r="N78" s="333"/>
      <c r="O78" s="564"/>
      <c r="P78" s="565"/>
      <c r="Q78" s="549">
        <f t="shared" si="6"/>
        <v>0</v>
      </c>
      <c r="R78" s="299">
        <f t="shared" si="7"/>
        <v>0</v>
      </c>
    </row>
    <row r="79" spans="2:18" ht="18" customHeight="1" thickTop="1" thickBot="1" x14ac:dyDescent="0.4">
      <c r="B79" s="668">
        <v>3136</v>
      </c>
      <c r="C79" s="669" t="s">
        <v>260</v>
      </c>
      <c r="D79" s="670"/>
      <c r="E79" s="671"/>
      <c r="F79" s="672">
        <v>1</v>
      </c>
      <c r="G79" s="673">
        <v>324</v>
      </c>
      <c r="H79" s="674"/>
      <c r="I79" s="675"/>
      <c r="J79" s="676"/>
      <c r="K79" s="677"/>
      <c r="L79" s="678"/>
      <c r="M79" s="679"/>
      <c r="N79" s="680"/>
      <c r="O79" s="681"/>
      <c r="P79" s="682"/>
      <c r="Q79" s="683">
        <f>(H79+I79+J79+K79+M79+L79+N79+O79+P79)*1</f>
        <v>0</v>
      </c>
      <c r="R79" s="684">
        <f t="shared" si="7"/>
        <v>0</v>
      </c>
    </row>
    <row r="80" spans="2:18" ht="18" customHeight="1" thickTop="1" thickBot="1" x14ac:dyDescent="0.4">
      <c r="B80" s="685">
        <v>3137</v>
      </c>
      <c r="C80" s="686" t="s">
        <v>261</v>
      </c>
      <c r="D80" s="687"/>
      <c r="E80" s="688"/>
      <c r="F80" s="689">
        <v>1</v>
      </c>
      <c r="G80" s="690">
        <v>423</v>
      </c>
      <c r="H80" s="691"/>
      <c r="I80" s="692"/>
      <c r="J80" s="693"/>
      <c r="K80" s="694"/>
      <c r="L80" s="695"/>
      <c r="M80" s="696"/>
      <c r="N80" s="697"/>
      <c r="O80" s="698"/>
      <c r="P80" s="699"/>
      <c r="Q80" s="683">
        <f>(H80+I80+J80+K80+M80+L80+N80+O80+P80)*1</f>
        <v>0</v>
      </c>
      <c r="R80" s="684">
        <f t="shared" si="7"/>
        <v>0</v>
      </c>
    </row>
    <row r="81" spans="2:25" ht="18" customHeight="1" thickTop="1" thickBot="1" x14ac:dyDescent="0.4">
      <c r="B81" s="700">
        <v>3138</v>
      </c>
      <c r="C81" s="701" t="s">
        <v>262</v>
      </c>
      <c r="D81" s="604"/>
      <c r="E81" s="702"/>
      <c r="F81" s="703">
        <v>11</v>
      </c>
      <c r="G81" s="704">
        <v>1665</v>
      </c>
      <c r="H81" s="705"/>
      <c r="I81" s="706"/>
      <c r="J81" s="707"/>
      <c r="K81" s="708"/>
      <c r="L81" s="709"/>
      <c r="M81" s="710"/>
      <c r="N81" s="711"/>
      <c r="O81" s="712"/>
      <c r="P81" s="713"/>
      <c r="Q81" s="683">
        <f>(H81+I81+J81+K81+M81+L81+N81+O81+P81)*11</f>
        <v>0</v>
      </c>
      <c r="R81" s="684">
        <f t="shared" si="7"/>
        <v>0</v>
      </c>
    </row>
    <row r="82" spans="2:25" ht="18" customHeight="1" thickTop="1" thickBot="1" x14ac:dyDescent="0.4">
      <c r="B82" s="714">
        <v>3139</v>
      </c>
      <c r="C82" s="715" t="s">
        <v>263</v>
      </c>
      <c r="D82" s="716"/>
      <c r="E82" s="717"/>
      <c r="F82" s="718">
        <v>33</v>
      </c>
      <c r="G82" s="719">
        <v>4500</v>
      </c>
      <c r="H82" s="720"/>
      <c r="I82" s="721"/>
      <c r="J82" s="722"/>
      <c r="K82" s="723"/>
      <c r="L82" s="724"/>
      <c r="M82" s="725"/>
      <c r="N82" s="726"/>
      <c r="O82" s="727"/>
      <c r="P82" s="728"/>
      <c r="Q82" s="729">
        <f>(H82+I82+J82+K82+M82+L82+N82+O82+P82)*33</f>
        <v>0</v>
      </c>
      <c r="R82" s="667">
        <f t="shared" si="7"/>
        <v>0</v>
      </c>
    </row>
    <row r="83" spans="2:25" ht="18" customHeight="1" thickTop="1" x14ac:dyDescent="0.35">
      <c r="D83" s="58"/>
    </row>
    <row r="84" spans="2:25" ht="18" customHeight="1" x14ac:dyDescent="0.35">
      <c r="D84" s="58"/>
    </row>
    <row r="85" spans="2:25" ht="88.5" customHeight="1" x14ac:dyDescent="0.35">
      <c r="B85" s="970"/>
      <c r="C85" s="971"/>
      <c r="D85" s="971"/>
      <c r="E85" s="971"/>
      <c r="F85" s="971"/>
      <c r="G85" s="971"/>
      <c r="H85" s="64" t="s">
        <v>95</v>
      </c>
      <c r="I85" s="65" t="s">
        <v>82</v>
      </c>
      <c r="J85" s="66" t="s">
        <v>96</v>
      </c>
      <c r="K85" s="67" t="s">
        <v>97</v>
      </c>
      <c r="L85" s="68" t="s">
        <v>83</v>
      </c>
      <c r="M85" s="69" t="s">
        <v>60</v>
      </c>
      <c r="N85" s="70" t="s">
        <v>98</v>
      </c>
      <c r="O85" s="71" t="s">
        <v>99</v>
      </c>
      <c r="P85" s="110" t="s">
        <v>109</v>
      </c>
      <c r="Q85" s="52"/>
      <c r="R85" s="52"/>
      <c r="S85" s="52"/>
      <c r="T85" s="52"/>
      <c r="U85" s="52"/>
      <c r="V85" s="52"/>
      <c r="W85" s="52"/>
      <c r="X85" s="970"/>
      <c r="Y85" s="971"/>
    </row>
    <row r="86" spans="2:25" ht="18" customHeight="1" x14ac:dyDescent="0.45">
      <c r="B86" s="970"/>
      <c r="C86" s="971"/>
      <c r="E86" s="1039" t="s">
        <v>86</v>
      </c>
      <c r="F86" s="998"/>
      <c r="G86" s="999"/>
      <c r="H86" s="537">
        <f>(H9*1)+(H10*1)+(H11*1)+(H12*1)+(H13*1)+(H14*1)+(H15*1)+(H16*1)+(H17*1)+(H18*1)+(H19*1)+(H20*1)+(H21*1)+(H22*1)+(H23*1)+(H24*15)+H26+H27+H28+H29+H30+H31+H32+H33+H34+H35+H36+H37+H39+H38+H40+(H41*15)+(H44*7)+H45+H46+H47+H48+(H49*11)+(H50*7)+H51+H52+H53+H54+(H55*11)+(H56*7)+H57+H58+H59+H60+(H61*11)+(H62*33)+(H64*7)+H65+H66+H67+H68+(H69*11)+(H70*7)+H71+H72+H73+H74+(H75*11)+(H76*7)+H77+H78+H79+H80+(H81*11)+(H82*33)</f>
        <v>0</v>
      </c>
      <c r="I86" s="537">
        <f t="shared" ref="I86:P86" si="8">(I9*1)+(I10*1)+(I11*1)+(I12*1)+(I13*1)+(I14*1)+(I15*1)+(I16*1)+(I17*1)+(I18*1)+(I19*1)+(I20*1)+(I21*1)+(I22*1)+(I23*1)+(I24*15)+I26+I27+I28+I29+I30+I31+I32+I33+I34+I35+I36+I37+I39+I38+I40+(I41*15)+(I44*7)+I45+I46+I47+I48+(I49*11)+(I50*7)+I51+I52+I53+I54+(I55*11)+(I56*7)+I57+I58+I59+I60+(I61*11)+(I62*33)+(I64*7)+I65+I66+I67+I68+(I69*11)+(I70*7)+I71+I72+I73+I74+(I75*11)+(I76*7)+I77+I78+I79+I80+(I81*11)+(I82*33)</f>
        <v>0</v>
      </c>
      <c r="J86" s="537">
        <f t="shared" si="8"/>
        <v>0</v>
      </c>
      <c r="K86" s="537">
        <f t="shared" si="8"/>
        <v>0</v>
      </c>
      <c r="L86" s="537">
        <f t="shared" si="8"/>
        <v>0</v>
      </c>
      <c r="M86" s="537">
        <f t="shared" si="8"/>
        <v>0</v>
      </c>
      <c r="N86" s="537">
        <f t="shared" si="8"/>
        <v>0</v>
      </c>
      <c r="O86" s="537">
        <f t="shared" si="8"/>
        <v>0</v>
      </c>
      <c r="P86" s="537">
        <f t="shared" si="8"/>
        <v>0</v>
      </c>
      <c r="Q86" s="53"/>
      <c r="R86" s="53"/>
      <c r="S86" s="53"/>
      <c r="T86" s="53"/>
      <c r="U86" s="53"/>
      <c r="V86" s="53"/>
      <c r="W86" s="53"/>
      <c r="X86" s="971"/>
      <c r="Y86" s="971"/>
    </row>
    <row r="87" spans="2:25" ht="18" customHeight="1" x14ac:dyDescent="0.45">
      <c r="B87" s="971"/>
      <c r="C87" s="971"/>
      <c r="E87" s="46"/>
      <c r="F87" s="46"/>
      <c r="G87" s="46"/>
      <c r="H87" s="1037" t="s">
        <v>76</v>
      </c>
      <c r="I87" s="1038"/>
      <c r="J87" s="1038"/>
      <c r="K87" s="1038"/>
      <c r="L87" s="1038"/>
      <c r="M87" s="1038"/>
      <c r="N87" s="1038"/>
      <c r="O87" s="1038"/>
      <c r="P87" s="1038"/>
      <c r="Q87" s="1038"/>
      <c r="R87" s="1038"/>
      <c r="S87" s="1038"/>
      <c r="T87" s="1038"/>
      <c r="U87" s="1038"/>
      <c r="V87" s="1038"/>
      <c r="W87" s="1038"/>
      <c r="X87" s="971"/>
      <c r="Y87" s="971"/>
    </row>
    <row r="88" spans="2:25" ht="18" customHeight="1" x14ac:dyDescent="0.45">
      <c r="B88" s="971"/>
      <c r="C88" s="971"/>
      <c r="E88" s="46"/>
      <c r="F88" s="46"/>
      <c r="G88" s="46"/>
      <c r="H88" s="274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971"/>
      <c r="Y88" s="971"/>
    </row>
    <row r="89" spans="2:25" ht="18" customHeight="1" x14ac:dyDescent="0.45">
      <c r="B89" s="971"/>
      <c r="C89" s="971"/>
      <c r="E89" s="1046" t="s">
        <v>138</v>
      </c>
      <c r="F89" s="994"/>
      <c r="G89" s="1047"/>
      <c r="H89" s="1044">
        <f>(Q9*3)+(Q10*4)+(Q11*9)+(Q12*10)+(Q13*10)+(Q14*3)+(Q15*4)+(Q16*9)+(Q17*10)+(Q18*10)+(Q19*3)+(Q20*4)+(Q21*9)+(Q22*10)+(Q23*10)+(Q24/15*108)+(Q26*3)+(Q27*4)+(Q28*9)+(Q29*10)+(Q30*10)+(Q31*3)+(Q32*4)+(Q33*9)+(Q34*10)+(Q35*10)+(Q36*3)+(Q37*4)+(Q38*9)+(Q39*10)+(Q40*10)+(Q41/15*108)+(Q44/7*22)+(Q45*5)+(Q46*9)+(Q47*10)+(Q48*13)+(Q49/11*59)+(Q50/7*22)+(Q51*5)+(Q52*9)+(Q53*10)+(Q54*13)+(Q55/11*59)+(Q56/7*22)+(Q57*5)+(Q58*9)+(Q59*10)+(Q60*13)+(Q61/11*59)+(Q62/33*177)+(Q64/7*22)+(Q65*5)+(Q66*9)+(Q67*10)+(Q68*13)+(Q69/11*59)+(Q70/7*22)+(Q71*5)+(Q72*9)+(Q73*10)+(Q74*13)+(Q75/11*59)+(Q76/7*22)+(Q77*5)+(Q78*9)+(Q79*10)+(Q80*13)+(Q81/11*59)+(Q82/33*177)</f>
        <v>0</v>
      </c>
      <c r="I89" s="104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971"/>
      <c r="Y89" s="971"/>
    </row>
    <row r="90" spans="2:25" ht="18" customHeight="1" x14ac:dyDescent="0.35">
      <c r="B90" s="971"/>
      <c r="C90" s="97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971"/>
      <c r="Y90" s="971"/>
    </row>
    <row r="91" spans="2:25" ht="27.75" customHeight="1" x14ac:dyDescent="0.55000000000000004">
      <c r="B91" s="971"/>
      <c r="C91" s="971"/>
      <c r="E91" s="972" t="s">
        <v>102</v>
      </c>
      <c r="F91" s="973"/>
      <c r="G91" s="974"/>
      <c r="H91" s="972">
        <f>H86+I86+J86+K86+L86+M86+N86+O86+P86</f>
        <v>0</v>
      </c>
      <c r="I91" s="973"/>
      <c r="J91" s="973"/>
      <c r="K91" s="973"/>
      <c r="L91" s="974"/>
      <c r="M91" s="1"/>
      <c r="N91" s="1"/>
      <c r="O91" s="975"/>
      <c r="P91" s="976"/>
      <c r="Q91" s="976"/>
      <c r="R91" s="977"/>
      <c r="S91" s="978"/>
      <c r="T91" s="976"/>
      <c r="U91" s="976"/>
      <c r="V91" s="976"/>
      <c r="W91" s="977"/>
      <c r="X91" s="971"/>
      <c r="Y91" s="971"/>
    </row>
    <row r="92" spans="2:25" ht="27.75" customHeight="1" x14ac:dyDescent="0.55000000000000004">
      <c r="B92" s="971"/>
      <c r="C92" s="971"/>
      <c r="E92" s="972" t="s">
        <v>103</v>
      </c>
      <c r="F92" s="973"/>
      <c r="G92" s="974"/>
      <c r="H92" s="1029">
        <f>SUM(R9:R82)</f>
        <v>0</v>
      </c>
      <c r="I92" s="973"/>
      <c r="J92" s="973"/>
      <c r="K92" s="973"/>
      <c r="L92" s="97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971"/>
      <c r="Y92" s="971"/>
    </row>
    <row r="93" spans="2:25" ht="14.25" customHeight="1" x14ac:dyDescent="0.35">
      <c r="H93" s="1"/>
      <c r="I93" s="1028" t="s">
        <v>17</v>
      </c>
      <c r="J93" s="988"/>
      <c r="K93" s="988"/>
      <c r="L93" s="988"/>
    </row>
    <row r="94" spans="2:25" ht="14.25" customHeight="1" x14ac:dyDescent="0.35"/>
    <row r="95" spans="2:25" ht="14.25" customHeight="1" x14ac:dyDescent="0.35"/>
    <row r="96" spans="2:25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4.25" hidden="1" customHeight="1" x14ac:dyDescent="0.35"/>
    <row r="1001" ht="14.25" hidden="1" customHeight="1" x14ac:dyDescent="0.35"/>
    <row r="1002" ht="14.25" hidden="1" customHeight="1" x14ac:dyDescent="0.35"/>
    <row r="1003" ht="14.25" hidden="1" customHeight="1" x14ac:dyDescent="0.35"/>
    <row r="1004" ht="14.25" hidden="1" customHeight="1" x14ac:dyDescent="0.35"/>
    <row r="1005" ht="14.25" hidden="1" customHeight="1" x14ac:dyDescent="0.35"/>
    <row r="1006" ht="14.25" hidden="1" customHeight="1" x14ac:dyDescent="0.35"/>
    <row r="1007" ht="14.25" hidden="1" customHeight="1" x14ac:dyDescent="0.35"/>
    <row r="1008" ht="14.25" hidden="1" customHeight="1" x14ac:dyDescent="0.35"/>
    <row r="1009" ht="14.25" hidden="1" customHeight="1" x14ac:dyDescent="0.35"/>
    <row r="1010" ht="14.25" hidden="1" customHeight="1" x14ac:dyDescent="0.35"/>
    <row r="1011" ht="14.25" hidden="1" customHeight="1" x14ac:dyDescent="0.35"/>
  </sheetData>
  <sheetProtection algorithmName="SHA-512" hashValue="o61yIOUKUHdE3/u3mbxTZx0rb9RXiabGSKzIoS+71e8usBwxi/xJ5S8b8Sf+LMmht5jcl2PDnLYQujxgnNEUxA==" saltValue="TEYI9y5SJmtQ7gTDIf0IQg==" spinCount="100000" sheet="1" objects="1" scenarios="1"/>
  <mergeCells count="31">
    <mergeCell ref="N1:P1"/>
    <mergeCell ref="I2:K2"/>
    <mergeCell ref="L2:P2"/>
    <mergeCell ref="Q2:R2"/>
    <mergeCell ref="Q3:R3"/>
    <mergeCell ref="H3:J3"/>
    <mergeCell ref="K3:O3"/>
    <mergeCell ref="I4:K4"/>
    <mergeCell ref="L4:P4"/>
    <mergeCell ref="Q4:R4"/>
    <mergeCell ref="P5:R5"/>
    <mergeCell ref="Q6:R6"/>
    <mergeCell ref="X85:Y92"/>
    <mergeCell ref="B86:C92"/>
    <mergeCell ref="E86:G86"/>
    <mergeCell ref="H87:W87"/>
    <mergeCell ref="E91:G91"/>
    <mergeCell ref="H91:L91"/>
    <mergeCell ref="O91:R91"/>
    <mergeCell ref="S91:W91"/>
    <mergeCell ref="E92:G92"/>
    <mergeCell ref="H92:L92"/>
    <mergeCell ref="I93:L93"/>
    <mergeCell ref="C7:D7"/>
    <mergeCell ref="B8:G8"/>
    <mergeCell ref="H8:R8"/>
    <mergeCell ref="B85:G85"/>
    <mergeCell ref="B43:G43"/>
    <mergeCell ref="H43:R43"/>
    <mergeCell ref="H89:I89"/>
    <mergeCell ref="E89:G89"/>
  </mergeCells>
  <dataValidations count="1">
    <dataValidation type="list" allowBlank="1" showErrorMessage="1" sqref="L4" xr:uid="{724F3388-9FB8-40BF-87B7-3A9F71DEB28E}">
      <formula1>"NoScrews,WithScrews"</formula1>
    </dataValidation>
  </dataValidations>
  <pageMargins left="0.7" right="0.7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Summary of Order</vt:lpstr>
      <vt:lpstr>PE Holds</vt:lpstr>
      <vt:lpstr>PU Holds</vt:lpstr>
      <vt:lpstr>Macros</vt:lpstr>
      <vt:lpstr>Plywood-Volumes</vt:lpstr>
      <vt:lpstr>'PE Holds'!Z_D8989337_B290_44A9_8E0B_1D31DA495A27_.wvu.Cols</vt:lpstr>
      <vt:lpstr>'PU Holds'!Z_D8989337_B290_44A9_8E0B_1D31DA495A27_.wvu.Cols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Theke</dc:creator>
  <cp:lastModifiedBy>jan wagner</cp:lastModifiedBy>
  <dcterms:created xsi:type="dcterms:W3CDTF">2022-01-20T20:08:21Z</dcterms:created>
  <dcterms:modified xsi:type="dcterms:W3CDTF">2026-09-17T09:37:08Z</dcterms:modified>
</cp:coreProperties>
</file>